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Default Extension="vml" ContentType="application/vnd.openxmlformats-officedocument.vmlDrawing"/>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drawings/drawing23.xml" ContentType="application/vnd.openxmlformats-officedocument.drawing+xml"/>
  <Override PartName="/xl/worksheets/sheet28.xml" ContentType="application/vnd.openxmlformats-officedocument.spreadsheetml.worksheet+xml"/>
  <Override PartName="/xl/drawings/drawing24.xml" ContentType="application/vnd.openxmlformats-officedocument.drawing+xml"/>
  <Override PartName="/xl/worksheets/sheet29.xml" ContentType="application/vnd.openxmlformats-officedocument.spreadsheetml.worksheet+xml"/>
  <Override PartName="/xl/drawings/drawing25.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drawings/drawing26.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3396" windowWidth="15420" windowHeight="3312" tabRatio="896" activeTab="0"/>
  </bookViews>
  <sheets>
    <sheet name="SI_1" sheetId="1" r:id="rId1"/>
    <sheet name="COCOCO" sheetId="2" r:id="rId2"/>
    <sheet name="t1" sheetId="3" r:id="rId3"/>
    <sheet name="t2" sheetId="4" r:id="rId4"/>
    <sheet name="t2A" sheetId="5" r:id="rId5"/>
    <sheet name="t3" sheetId="6" r:id="rId6"/>
    <sheet name="t4" sheetId="7" r:id="rId7"/>
    <sheet name="t5" sheetId="8" r:id="rId8"/>
    <sheet name="t6" sheetId="9" r:id="rId9"/>
    <sheet name="t7" sheetId="10" r:id="rId10"/>
    <sheet name="t8" sheetId="11" r:id="rId11"/>
    <sheet name="t9" sheetId="12" r:id="rId12"/>
    <sheet name="t10" sheetId="13" r:id="rId13"/>
    <sheet name="t11" sheetId="14" r:id="rId14"/>
    <sheet name="t12" sheetId="15" r:id="rId15"/>
    <sheet name="t13" sheetId="16" r:id="rId16"/>
    <sheet name="t14" sheetId="17" r:id="rId17"/>
    <sheet name="t15(1)" sheetId="18" r:id="rId18"/>
    <sheet name="t15(2)" sheetId="19" r:id="rId19"/>
    <sheet name="t15(3)" sheetId="20" r:id="rId20"/>
    <sheet name="SICI(1)" sheetId="21" r:id="rId21"/>
    <sheet name="SICI(2)" sheetId="22" r:id="rId22"/>
    <sheet name="Tabella Riconciliazione" sheetId="23" r:id="rId23"/>
    <sheet name="Valori Medi" sheetId="24" r:id="rId24"/>
    <sheet name="Squadratura 1" sheetId="25" r:id="rId25"/>
    <sheet name="Squadratura 2" sheetId="26" r:id="rId26"/>
    <sheet name="Squadratura 3" sheetId="27" r:id="rId27"/>
    <sheet name="Squadratura 4" sheetId="28" r:id="rId28"/>
    <sheet name="Incongruenze 1 e 11" sheetId="29" r:id="rId29"/>
    <sheet name="Incongruenza 2" sheetId="30" r:id="rId30"/>
    <sheet name="Incongruenze 3, 12 e 13" sheetId="31" r:id="rId31"/>
    <sheet name="Incongruenza 4 e controlli t14" sheetId="32" r:id="rId32"/>
    <sheet name="Incongruenza 5" sheetId="33" r:id="rId33"/>
    <sheet name="Incongruenza 6" sheetId="34" r:id="rId34"/>
    <sheet name="Incongruenza 7" sheetId="35" r:id="rId35"/>
    <sheet name="Incongruenza 8" sheetId="36" r:id="rId36"/>
    <sheet name="Incongruenza 10" sheetId="37" r:id="rId37"/>
    <sheet name="Incongruenza 14" sheetId="38" r:id="rId38"/>
  </sheets>
  <externalReferences>
    <externalReference r:id="rId41"/>
    <externalReference r:id="rId42"/>
    <externalReference r:id="rId43"/>
    <externalReference r:id="rId44"/>
  </externalReferences>
  <definedNames>
    <definedName name="_xlfn.BAHTTEXT" hidden="1">#NAME?</definedName>
    <definedName name="_xlnm.Print_Area" localSheetId="1">'COCOCO'!$A$1:$H$27</definedName>
    <definedName name="_xlnm.Print_Area" localSheetId="28">'Incongruenze 1 e 11'!$A$1:$E$21</definedName>
    <definedName name="_xlnm.Print_Area" localSheetId="30">'Incongruenze 3, 12 e 13'!$A$1:$D$14</definedName>
    <definedName name="_xlnm.Print_Area" localSheetId="0">'SI_1'!$A$1:$H$185</definedName>
    <definedName name="_xlnm.Print_Area" localSheetId="20">'SICI(1)'!$A$1:$E$71</definedName>
    <definedName name="_xlnm.Print_Area" localSheetId="21">'SICI(2)'!$A$1:$E$87</definedName>
    <definedName name="_xlnm.Print_Area" localSheetId="24">'Squadratura 1'!$A$1:$J$23</definedName>
    <definedName name="_xlnm.Print_Area" localSheetId="25">'Squadratura 2'!$A$1:$L$24</definedName>
    <definedName name="_xlnm.Print_Area" localSheetId="26">'Squadratura 3'!$A$1:$AB$25</definedName>
    <definedName name="_xlnm.Print_Area" localSheetId="27">'Squadratura 4'!$A$1:$I$23</definedName>
    <definedName name="_xlnm.Print_Area" localSheetId="2">'t1'!$A$1:$AJ$26</definedName>
    <definedName name="_xlnm.Print_Area" localSheetId="12">'t10'!$A$1:$AV$25</definedName>
    <definedName name="_xlnm.Print_Area" localSheetId="13">'t11'!$A$1:$AZ$26</definedName>
    <definedName name="_xlnm.Print_Area" localSheetId="14">'t12'!$A$1:$AH$27</definedName>
    <definedName name="_xlnm.Print_Area" localSheetId="15">'t13'!$A$1:$AP$26</definedName>
    <definedName name="_xlnm.Print_Area" localSheetId="16">'t14'!$A$1:$D$34</definedName>
    <definedName name="_xlnm.Print_Area" localSheetId="17">'t15(1)'!$A$1:$G$34</definedName>
    <definedName name="_xlnm.Print_Area" localSheetId="18">'t15(2)'!$A$1:$G$35</definedName>
    <definedName name="_xlnm.Print_Area" localSheetId="19">'t15(3)'!$A$1:$G$40</definedName>
    <definedName name="_xlnm.Print_Area" localSheetId="4">'t2A'!$A$1:$S$17</definedName>
    <definedName name="_xlnm.Print_Area" localSheetId="5">'t3'!$A$1:$R$28</definedName>
    <definedName name="_xlnm.Print_Area" localSheetId="6">'t4'!$A$1:$T$25</definedName>
    <definedName name="_xlnm.Print_Area" localSheetId="7">'t5'!$A$1:$T$27</definedName>
    <definedName name="_xlnm.Print_Area" localSheetId="9">'t7'!$A$1:$X$25</definedName>
    <definedName name="_xlnm.Print_Area" localSheetId="10">'t8'!$A$1:$AB$26</definedName>
    <definedName name="_xlnm.Print_Area" localSheetId="11">'t9'!$A$1:$P$25</definedName>
    <definedName name="_xlnm.Print_Area" localSheetId="23">'Valori Medi'!$A$1:$T$25</definedName>
    <definedName name="CODI_ISTITUZIONE" localSheetId="20">#REF!</definedName>
    <definedName name="CODI_ISTITUZIONE">#REF!</definedName>
    <definedName name="CODI_ISTITUZIONE2" localSheetId="37">#REF!</definedName>
    <definedName name="CODI_ISTITUZIONE2" localSheetId="35">#REF!</definedName>
    <definedName name="CODI_ISTITUZIONE2" localSheetId="30">#REF!</definedName>
    <definedName name="CODI_ISTITUZIONE2" localSheetId="20">#REF!</definedName>
    <definedName name="CODI_ISTITUZIONE2" localSheetId="21">#REF!</definedName>
    <definedName name="CODI_ISTITUZIONE2" localSheetId="18">#REF!</definedName>
    <definedName name="CODI_ISTITUZIONE2">#REF!</definedName>
    <definedName name="DESC_ISTITUZIONE" localSheetId="20">#REF!</definedName>
    <definedName name="DESC_ISTITUZIONE">#REF!</definedName>
    <definedName name="DESC_ISTITUZIONE2" localSheetId="37">#REF!</definedName>
    <definedName name="DESC_ISTITUZIONE2" localSheetId="35">#REF!</definedName>
    <definedName name="DESC_ISTITUZIONE2" localSheetId="30">#REF!</definedName>
    <definedName name="DESC_ISTITUZIONE2" localSheetId="20">#REF!</definedName>
    <definedName name="DESC_ISTITUZIONE2" localSheetId="21">#REF!</definedName>
    <definedName name="DESC_ISTITUZIONE2" localSheetId="18">#REF!</definedName>
    <definedName name="DESC_ISTITUZIONE2">#REF!</definedName>
    <definedName name="_xlnm.Print_Titles" localSheetId="29">'Incongruenza 2'!$1:$5</definedName>
    <definedName name="_xlnm.Print_Titles" localSheetId="32">'Incongruenza 5'!$1:$5</definedName>
    <definedName name="_xlnm.Print_Titles" localSheetId="33">'Incongruenza 6'!$1:$5</definedName>
    <definedName name="_xlnm.Print_Titles" localSheetId="34">'Incongruenza 7'!$1:$4</definedName>
    <definedName name="_xlnm.Print_Titles" localSheetId="35">'Incongruenza 8'!$1:$5</definedName>
    <definedName name="_xlnm.Print_Titles" localSheetId="28">'Incongruenze 1 e 11'!$4:$4</definedName>
    <definedName name="_xlnm.Print_Titles" localSheetId="30">'Incongruenze 3, 12 e 13'!$4:$4</definedName>
    <definedName name="_xlnm.Print_Titles" localSheetId="24">'Squadratura 1'!$1:$5</definedName>
    <definedName name="_xlnm.Print_Titles" localSheetId="25">'Squadratura 2'!$1:$6</definedName>
    <definedName name="_xlnm.Print_Titles" localSheetId="26">'Squadratura 3'!$A:$B,'Squadratura 3'!$1:$7</definedName>
    <definedName name="_xlnm.Print_Titles" localSheetId="27">'Squadratura 4'!$1:$5</definedName>
    <definedName name="_xlnm.Print_Titles" localSheetId="2">'t1'!$1:$5</definedName>
    <definedName name="_xlnm.Print_Titles" localSheetId="12">'t10'!$A:$B,'t10'!$1:$5</definedName>
    <definedName name="_xlnm.Print_Titles" localSheetId="13">'t11'!$1:$7</definedName>
    <definedName name="_xlnm.Print_Titles" localSheetId="14">'t12'!$1:$5</definedName>
    <definedName name="_xlnm.Print_Titles" localSheetId="15">'t13'!$1:$5</definedName>
    <definedName name="_xlnm.Print_Titles" localSheetId="19">'t15(3)'!$3:$4</definedName>
    <definedName name="_xlnm.Print_Titles" localSheetId="3">'t2'!$1:$5</definedName>
    <definedName name="_xlnm.Print_Titles" localSheetId="5">'t3'!$1:$5</definedName>
    <definedName name="_xlnm.Print_Titles" localSheetId="6">'t4'!$A:$B,'t4'!$1:$5</definedName>
    <definedName name="_xlnm.Print_Titles" localSheetId="7">'t5'!$1:$6</definedName>
    <definedName name="_xlnm.Print_Titles" localSheetId="8">'t6'!$1:$6</definedName>
    <definedName name="_xlnm.Print_Titles" localSheetId="9">'t7'!$1:$5</definedName>
    <definedName name="_xlnm.Print_Titles" localSheetId="10">'t8'!$1:$5</definedName>
    <definedName name="_xlnm.Print_Titles" localSheetId="11">'t9'!$1:$5</definedName>
    <definedName name="_xlnm.Print_Titles" localSheetId="23">'Valori Medi'!$A:$E,'Valori Medi'!$1:$5</definedName>
  </definedNames>
  <calcPr fullCalcOnLoad="1" fullPrecision="0"/>
</workbook>
</file>

<file path=xl/sharedStrings.xml><?xml version="1.0" encoding="utf-8"?>
<sst xmlns="http://schemas.openxmlformats.org/spreadsheetml/2006/main" count="1803" uniqueCount="896">
  <si>
    <t>Personale soggetto a turnazione (**) Personale indicato in T1</t>
  </si>
  <si>
    <t>Personale soggetto a reperibilità (**) Personale indicato in T1</t>
  </si>
  <si>
    <t>CONTRATTI PER RESA SERVIZI/ADEMPIMENTI OBBLIGATORI PER LEGGE</t>
  </si>
  <si>
    <t>L115</t>
  </si>
  <si>
    <t>c) Economico</t>
  </si>
  <si>
    <t>b) Giuridico-amministrativo</t>
  </si>
  <si>
    <t>j=(a+b+c+d-e-f-g-h-i)</t>
  </si>
  <si>
    <t>k</t>
  </si>
  <si>
    <t>j=k</t>
  </si>
  <si>
    <t>s</t>
  </si>
  <si>
    <t>u=(l+m+n+o-p-q-r-s-t)</t>
  </si>
  <si>
    <t>v</t>
  </si>
  <si>
    <t>u=v</t>
  </si>
  <si>
    <t>unità per il calcolo delle assenze (*)</t>
  </si>
  <si>
    <t>Presenti per titolo di studio 
(Tab 9)</t>
  </si>
  <si>
    <t>Incarichi libero professionale, studio, ricerca e consulenza</t>
  </si>
  <si>
    <t>Contratti per resa servizi/adempimenti obbligatori per legge</t>
  </si>
  <si>
    <t>T1</t>
  </si>
  <si>
    <t>SQ 1</t>
  </si>
  <si>
    <t>T2</t>
  </si>
  <si>
    <t>SQ 2</t>
  </si>
  <si>
    <t>T3</t>
  </si>
  <si>
    <t>SQ 3</t>
  </si>
  <si>
    <t>T4</t>
  </si>
  <si>
    <t>SQ 4</t>
  </si>
  <si>
    <t>T5</t>
  </si>
  <si>
    <t>T6</t>
  </si>
  <si>
    <t>T7</t>
  </si>
  <si>
    <t>IN 1</t>
  </si>
  <si>
    <t>T8</t>
  </si>
  <si>
    <t>IN 2</t>
  </si>
  <si>
    <t>T9</t>
  </si>
  <si>
    <t>IN 4</t>
  </si>
  <si>
    <t>T10</t>
  </si>
  <si>
    <t>IN 5</t>
  </si>
  <si>
    <t>T11</t>
  </si>
  <si>
    <t>IN 6</t>
  </si>
  <si>
    <t>T12</t>
  </si>
  <si>
    <t>IN 7</t>
  </si>
  <si>
    <t>T13</t>
  </si>
  <si>
    <t>T14</t>
  </si>
  <si>
    <t>T15</t>
  </si>
  <si>
    <t>Contratti di collaborazione coordinata e continuativa</t>
  </si>
  <si>
    <t>Totale della Tabella T11</t>
  </si>
  <si>
    <t>Totale della Tabella T1</t>
  </si>
  <si>
    <t>Totale della Tabella T3 (personale esterno)</t>
  </si>
  <si>
    <t>Totale Usciti della Tabella T4</t>
  </si>
  <si>
    <t>Totale Entrati della Tabella T4</t>
  </si>
  <si>
    <t>Totale della Tabella T5</t>
  </si>
  <si>
    <t>Incongruenza 7</t>
  </si>
  <si>
    <t>Incongruenza           [se a&gt;0 e (b=0 e c=0 e d=0 e e=0 e f=0)]</t>
  </si>
  <si>
    <t>Incongruenza         [se a=0 e (b&gt;0 o c&gt;0 o d&gt;0 o e&gt;0 o f&gt;0)]</t>
  </si>
  <si>
    <t>CONTRATTI DI COLLABORAZIONE COORDINATA E CONTINUATIVA</t>
  </si>
  <si>
    <t>Contratti di somministrazione (ex interinale)</t>
  </si>
  <si>
    <t>Contratti di somministrazione
(ex Interinale) (*)</t>
  </si>
  <si>
    <t>INDIRIZZO PAGINA WEB DELL'ENTE</t>
  </si>
  <si>
    <t>CONVENZIONI</t>
  </si>
  <si>
    <t>Passaggi ad altra Amministrazione dello stesso comparto (*)</t>
  </si>
  <si>
    <t>Passaggi ad altra Amministrazione di altro comparto (*)</t>
  </si>
  <si>
    <t>LAUREA BREVE</t>
  </si>
  <si>
    <t>SPECIALIZZAZIONE
POST LAUREA/ DOTTORATO DI RICERCA</t>
  </si>
  <si>
    <t>ALTRI TITOLI
POST LAUREA</t>
  </si>
  <si>
    <t>FORMAZIONE</t>
  </si>
  <si>
    <t>a) Tecnico</t>
  </si>
  <si>
    <t>Suddividere i contratti co.co.co. attivi nel corso dell’anno secondo la loro durata:</t>
  </si>
  <si>
    <t>a) 1 - 3 mesi</t>
  </si>
  <si>
    <t>b) 4 - 6 mesi</t>
  </si>
  <si>
    <t>c) 7 - 12 mesi</t>
  </si>
  <si>
    <t>d) oltre 12 mesi</t>
  </si>
  <si>
    <t>a) Laurea</t>
  </si>
  <si>
    <t>b) Diploma superiore</t>
  </si>
  <si>
    <t>c) Diploma inferiore</t>
  </si>
  <si>
    <t>VALORE</t>
  </si>
  <si>
    <t>N U M E R O      D I     D I P E N D E N T I</t>
  </si>
  <si>
    <t>Cod.</t>
  </si>
  <si>
    <t>Uomini</t>
  </si>
  <si>
    <t>Donne</t>
  </si>
  <si>
    <t>TOTALE</t>
  </si>
  <si>
    <t>A tempo pieno</t>
  </si>
  <si>
    <t>FERIE</t>
  </si>
  <si>
    <t>N. gg</t>
  </si>
  <si>
    <t>FINO ALLA SCUOLA DELL'OBBLIGO</t>
  </si>
  <si>
    <t>LIC. MEDIA SUPERIORE</t>
  </si>
  <si>
    <t>LAUREA</t>
  </si>
  <si>
    <t>tra 25 e 29 anni</t>
  </si>
  <si>
    <t xml:space="preserve"> tra 30 e 34 anni</t>
  </si>
  <si>
    <t>tra 35 e 39 anni</t>
  </si>
  <si>
    <t>tra 40 e 44 anni</t>
  </si>
  <si>
    <t>tra 45 e 49 anni</t>
  </si>
  <si>
    <t>tra 50 e 54 anni</t>
  </si>
  <si>
    <t>tra 55 e 59 anni</t>
  </si>
  <si>
    <t>tra 60 e 64 anni</t>
  </si>
  <si>
    <t>U</t>
  </si>
  <si>
    <t>D</t>
  </si>
  <si>
    <t>tra 0 e 5 anni</t>
  </si>
  <si>
    <t>tra 6 e 10 anni</t>
  </si>
  <si>
    <t xml:space="preserve"> tra 11 e 15 anni</t>
  </si>
  <si>
    <t>tra 16 e 20 anni</t>
  </si>
  <si>
    <t>tra 21 e 25 anni</t>
  </si>
  <si>
    <t>tra 26 e 30 anni</t>
  </si>
  <si>
    <t>tra 31 e 35 anni</t>
  </si>
  <si>
    <t>tra 36 e 40 anni</t>
  </si>
  <si>
    <t>Altre cause</t>
  </si>
  <si>
    <t>FUORI RUOLO</t>
  </si>
  <si>
    <t>(*) Escluso il personale comandato e quello fuori ruolo</t>
  </si>
  <si>
    <t>Codice</t>
  </si>
  <si>
    <t>CATEGORIA</t>
  </si>
  <si>
    <t>Importo</t>
  </si>
  <si>
    <t>IRAP</t>
  </si>
  <si>
    <t>ALTRE SPESE</t>
  </si>
  <si>
    <t xml:space="preserve">Voci di spesa </t>
  </si>
  <si>
    <t xml:space="preserve"> </t>
  </si>
  <si>
    <t>TREDICESIMA MENSILTA'</t>
  </si>
  <si>
    <t>RECUPERI DERIVANTI DA ASSENZE, RITARDI, ECC.</t>
  </si>
  <si>
    <t>cod.</t>
  </si>
  <si>
    <t>VALLE D'AOSTA</t>
  </si>
  <si>
    <t>PIEMONTE</t>
  </si>
  <si>
    <t>LOMBARDIA</t>
  </si>
  <si>
    <t>VENETO</t>
  </si>
  <si>
    <t>LIGURIA</t>
  </si>
  <si>
    <t>EMILIA ROMAGNA</t>
  </si>
  <si>
    <t>TOSCANA</t>
  </si>
  <si>
    <t>UMBRIA</t>
  </si>
  <si>
    <t>MARCHE</t>
  </si>
  <si>
    <t>LAZIO</t>
  </si>
  <si>
    <t>MOLISE</t>
  </si>
  <si>
    <t>CAMPANIA</t>
  </si>
  <si>
    <t>PUGLIA</t>
  </si>
  <si>
    <t>BASILICATA</t>
  </si>
  <si>
    <t>CALABRIA</t>
  </si>
  <si>
    <t>SICILIA</t>
  </si>
  <si>
    <t>SARDEGNA</t>
  </si>
  <si>
    <t>DESCRIZIONE</t>
  </si>
  <si>
    <t>CODICE</t>
  </si>
  <si>
    <t>In part-time
fino al 50%</t>
  </si>
  <si>
    <t>In part-time
oltre il 50%</t>
  </si>
  <si>
    <t>A tempo determinato (*)</t>
  </si>
  <si>
    <t>Formazione lavoro (*)</t>
  </si>
  <si>
    <t>(*) dati su base annua</t>
  </si>
  <si>
    <t>(**) presenti al 31 dicembre anno corrente</t>
  </si>
  <si>
    <t xml:space="preserve">TOTALE
USCITI
</t>
  </si>
  <si>
    <t>qualifica/posizione economica/profilo</t>
  </si>
  <si>
    <t>qualifica / posiz.economica/profilo</t>
  </si>
  <si>
    <t>PERSONALE DELL'AMMINISTRAZIONE (* )</t>
  </si>
  <si>
    <t>PERSONALE ESTERNO ( ** )</t>
  </si>
  <si>
    <t>(**) Personale comandato e fuori ruolo da altre Amministrazioni</t>
  </si>
  <si>
    <t>qualifica/posiz. economica/profilo</t>
  </si>
  <si>
    <t>qualifica/posiz.economica/profilo</t>
  </si>
  <si>
    <t>STIPENDIO</t>
  </si>
  <si>
    <t>EROGAZIONE BUONI PASTO</t>
  </si>
  <si>
    <t>INDENNITA' DI MISSIONE E TRASFERIMENTO</t>
  </si>
  <si>
    <t>EQUO INDENNIZZO AL PERSONALE</t>
  </si>
  <si>
    <t>BENESSERE DEL PERSONALE</t>
  </si>
  <si>
    <t>FORMAZIONE DEL PERSONALE</t>
  </si>
  <si>
    <t>Qualifica/Posiz.economica/Profilo</t>
  </si>
  <si>
    <t>ASSEGNI PER IL NUCLEO FAMILIARE</t>
  </si>
  <si>
    <t xml:space="preserve">(**) dato pari alla somma del personale a tempo pieno + in part-time fino al 50% + in part-time oltre il 50% </t>
  </si>
  <si>
    <t xml:space="preserve">(*) Escluso il personale comandato e quello fuori ruolo </t>
  </si>
  <si>
    <t xml:space="preserve">TOTALE </t>
  </si>
  <si>
    <t>L005</t>
  </si>
  <si>
    <t>P015</t>
  </si>
  <si>
    <t>P016</t>
  </si>
  <si>
    <t>P062</t>
  </si>
  <si>
    <t>L105</t>
  </si>
  <si>
    <t>P065</t>
  </si>
  <si>
    <t>P071</t>
  </si>
  <si>
    <t>P055</t>
  </si>
  <si>
    <t>P058</t>
  </si>
  <si>
    <t>P061</t>
  </si>
  <si>
    <t>P090</t>
  </si>
  <si>
    <t>P030</t>
  </si>
  <si>
    <t>L010</t>
  </si>
  <si>
    <t>L011</t>
  </si>
  <si>
    <t>L020</t>
  </si>
  <si>
    <t>L090</t>
  </si>
  <si>
    <t>L100</t>
  </si>
  <si>
    <t>COPERTURE ASSICURATIVE</t>
  </si>
  <si>
    <t>L107</t>
  </si>
  <si>
    <t>L110</t>
  </si>
  <si>
    <t>L108</t>
  </si>
  <si>
    <t>TOTALE ENTRATI</t>
  </si>
  <si>
    <t>fino a 19 anni</t>
  </si>
  <si>
    <t>tra 20 e 24 anni</t>
  </si>
  <si>
    <t>ENTRATI in: qualifica/posizione economica/profilo</t>
  </si>
  <si>
    <t>(a) personale a tempo indeterminato al quale viene applicato un contratto di lavoro di tipo privatistico (es.:tipografico,chimico,edile,metalmeccanico,portierato, ecc.)</t>
  </si>
  <si>
    <t>ARRETRATI  ANNI PRECEDENTI</t>
  </si>
  <si>
    <t>NUMERO DI MENSILITA' (**)</t>
  </si>
  <si>
    <t>(*) gli importi vanno indicati in EURO, senza cifre decimali (cfr. circolare: "istruzioni generali e specifiche di comparto")</t>
  </si>
  <si>
    <t>(**) il numero delle mensilità va espresso con 2 cifre decimali (cfr. circolare: "istruzioni generali e specifiche di comparto ")</t>
  </si>
  <si>
    <t xml:space="preserve">COMANDATI / DISTACCATI </t>
  </si>
  <si>
    <t>L109</t>
  </si>
  <si>
    <t>ALTRE ASSENZE NON RETRIBUITE</t>
  </si>
  <si>
    <t>Coerenza</t>
  </si>
  <si>
    <t>Tot Cessati (Tab 5)</t>
  </si>
  <si>
    <t>Tot Entrati (Tab 4)</t>
  </si>
  <si>
    <t>Tot Usciti (Tab 4)</t>
  </si>
  <si>
    <t>A tempo determinato</t>
  </si>
  <si>
    <t>Formazione lavoro</t>
  </si>
  <si>
    <t>L.S.U</t>
  </si>
  <si>
    <t>Scostamento in valore assoluto</t>
  </si>
  <si>
    <t>Codici qualifiche</t>
  </si>
  <si>
    <t>Qualifiche</t>
  </si>
  <si>
    <t>a</t>
  </si>
  <si>
    <t>b</t>
  </si>
  <si>
    <t>c</t>
  </si>
  <si>
    <t>d</t>
  </si>
  <si>
    <t>e</t>
  </si>
  <si>
    <t>f=(a-b+c-d+e)</t>
  </si>
  <si>
    <t>g</t>
  </si>
  <si>
    <t>f=g</t>
  </si>
  <si>
    <t xml:space="preserve">Coerenza </t>
  </si>
  <si>
    <t>Presenti per classi di anzianità di servizio (Tab 7)</t>
  </si>
  <si>
    <t>Presenti per classi di età (Tab 8)</t>
  </si>
  <si>
    <t>Fuori ruolo esterni (IN) (Tab 3)</t>
  </si>
  <si>
    <t>Comandati esterni (IN)  (Tab 3)</t>
  </si>
  <si>
    <t>Fuori ruolo interni (OUT) (Tab 3)</t>
  </si>
  <si>
    <t>h</t>
  </si>
  <si>
    <t>i</t>
  </si>
  <si>
    <t>l</t>
  </si>
  <si>
    <t>m</t>
  </si>
  <si>
    <t>n</t>
  </si>
  <si>
    <t>p</t>
  </si>
  <si>
    <t>Cessati (Tab 5)</t>
  </si>
  <si>
    <t xml:space="preserve"> Assunti (Tab 6)</t>
  </si>
  <si>
    <t>Entrati (Tab 4)</t>
  </si>
  <si>
    <t>Usciti (Tab 4)</t>
  </si>
  <si>
    <t>f</t>
  </si>
  <si>
    <t>f&lt;=e</t>
  </si>
  <si>
    <t>a=b=c=d</t>
  </si>
  <si>
    <t>(e=f=g=h)</t>
  </si>
  <si>
    <t>Comandati interni (OUT) (Tab 3)</t>
  </si>
  <si>
    <t>(*) Solo per le tipologie tenute all'invio della TABELLA 10</t>
  </si>
  <si>
    <t>Totale personale distribuito per Regioni  (calcolato)</t>
  </si>
  <si>
    <t>Totale personale distribuito per Regioni (Tab 10)</t>
  </si>
  <si>
    <t>e=(a-b+c+d)</t>
  </si>
  <si>
    <t xml:space="preserve">Consistenza nella qualifica </t>
  </si>
  <si>
    <t>Spesa (Tab 14)</t>
  </si>
  <si>
    <t>Compresenza</t>
  </si>
  <si>
    <t>Qualifica</t>
  </si>
  <si>
    <t>Mensilità (Tab 12)</t>
  </si>
  <si>
    <t>c=(b/a*12)</t>
  </si>
  <si>
    <t>e=(c-d)</t>
  </si>
  <si>
    <t>f=(e/d*100)</t>
  </si>
  <si>
    <t>Spesa per stipendio (Tab 12)</t>
  </si>
  <si>
    <t>Spesa media annua per stipendio (per 12 mensilità)</t>
  </si>
  <si>
    <t>Importi stipendiali contrattuali annui (per 12 mensilità)</t>
  </si>
  <si>
    <t>Scostamento percentuale</t>
  </si>
  <si>
    <t>(*) Personale comandato e fuori ruolo verso altre Amministrazioni</t>
  </si>
  <si>
    <t>Tot Assunti (Tab 6)</t>
  </si>
  <si>
    <t>Controlli di coerenza</t>
  </si>
  <si>
    <t>IMPORTI</t>
  </si>
  <si>
    <t>Codici spesa</t>
  </si>
  <si>
    <t>Importi comunicati (Tab 14)</t>
  </si>
  <si>
    <t>Incidenza percentuale: Importi comunicati Tab 14 / (Tabella 12 + Tabella 13)</t>
  </si>
  <si>
    <t>N U M E R O   D I   D I P E N D E N T I</t>
  </si>
  <si>
    <t xml:space="preserve">N U M E R O   D I   D I P E N D E N T I </t>
  </si>
  <si>
    <t xml:space="preserve">N U M E R O   D I   D I P E N D E N T I  </t>
  </si>
  <si>
    <t>N U M E R O   G I O R N I   D I   A S S E N Z A</t>
  </si>
  <si>
    <t xml:space="preserve">USCITI da: 
qualifica/posizione economica/profilo
</t>
  </si>
  <si>
    <t xml:space="preserve">Codice
</t>
  </si>
  <si>
    <t>V O C I   D I   S P E S A</t>
  </si>
  <si>
    <t>U O M I N I</t>
  </si>
  <si>
    <t>D O N N E</t>
  </si>
  <si>
    <t>Tavola di controllo degli usciti dalla qualifica di Tabella 4 (Squadratura 4)</t>
  </si>
  <si>
    <t>Tavola di congruenza tra spesa media annua per stipendio (Tabella 12) e importi stipendiali contrattuali</t>
  </si>
  <si>
    <t>Tavola di controllo dei valori di spesa di Tabella 14: incidenza % di ciascun valore sul totale delle spese di Tabella 12+Tabella 13</t>
  </si>
  <si>
    <t>TOTALE TABELLA 12 + TABELLA 13:</t>
  </si>
  <si>
    <t>PARTITA IVA DELL'ENTE</t>
  </si>
  <si>
    <t xml:space="preserve">CODICE FISCALE DELL'ENTE </t>
  </si>
  <si>
    <t>TELEFONO</t>
  </si>
  <si>
    <t xml:space="preserve">FAX </t>
  </si>
  <si>
    <t>E-MAIL</t>
  </si>
  <si>
    <t>INDIRIZZO</t>
  </si>
  <si>
    <t xml:space="preserve">VIA </t>
  </si>
  <si>
    <t>C.A.P.</t>
  </si>
  <si>
    <t>PRESIDENTE:</t>
  </si>
  <si>
    <t>COGNOME</t>
  </si>
  <si>
    <t>NOME</t>
  </si>
  <si>
    <t>COMPONENTI:</t>
  </si>
  <si>
    <t>I modelli debbono essere sottoscritti dai revisori dei conti</t>
  </si>
  <si>
    <t>FAX</t>
  </si>
  <si>
    <t>Non compilare</t>
  </si>
  <si>
    <t>numero contratti</t>
  </si>
  <si>
    <t>numero unità</t>
  </si>
  <si>
    <t>PC</t>
  </si>
  <si>
    <t>S998</t>
  </si>
  <si>
    <t>S999</t>
  </si>
  <si>
    <t>T101</t>
  </si>
  <si>
    <t>*1</t>
  </si>
  <si>
    <t>*2</t>
  </si>
  <si>
    <t>ND</t>
  </si>
  <si>
    <t>E-Mail</t>
  </si>
  <si>
    <t>*3</t>
  </si>
  <si>
    <t>*4</t>
  </si>
  <si>
    <t>ESTERO</t>
  </si>
  <si>
    <t>FRIULI VENEZIA GIULIA</t>
  </si>
  <si>
    <t>PROVINCIA AUTONOMA TRENTO</t>
  </si>
  <si>
    <t>PROVINCIA AUTONOMA BOLZANO</t>
  </si>
  <si>
    <t>N° Civico</t>
  </si>
  <si>
    <t>F00</t>
  </si>
  <si>
    <t>SC1</t>
  </si>
  <si>
    <t>SS2</t>
  </si>
  <si>
    <t>Totale uomini e donne (Tab T5)</t>
  </si>
  <si>
    <t>Totale della Tabella T13</t>
  </si>
  <si>
    <t>TABELLE 12 -13 ASSENTI</t>
  </si>
  <si>
    <t>Totale usciti (Tab T4)</t>
  </si>
  <si>
    <t>Mensilità (Tab T12)</t>
  </si>
  <si>
    <t>Tavola di congruenza tra Presenti al 31-12 del totale  uomini e donne o Totale uomini e donne Tabella 5 e mensilità della Tabella T12</t>
  </si>
  <si>
    <t>Congruenza (se a&gt;0 o b&gt;0 o c&gt;0 e d&gt;0 )</t>
  </si>
  <si>
    <t>1.0</t>
  </si>
  <si>
    <t>ARRETRATI ANNI PRECEDENTI</t>
  </si>
  <si>
    <t>STRAORDINARIO</t>
  </si>
  <si>
    <t>NF</t>
  </si>
  <si>
    <t>ATTENZIONE: non compilare in caso in cui l'ente non è tenuto all'invio</t>
  </si>
  <si>
    <t>Congruenza          ( a&gt;0 e b&gt;0)</t>
  </si>
  <si>
    <t>CITTA'                                                     PROV.</t>
  </si>
  <si>
    <t>TABELLE COMPILATE
(attenzione: la seguente sezione verrà compilata in automatico; all'atto dell'inserimento dei dati nel kit verrà annerita la relativa casella)</t>
  </si>
  <si>
    <t>Fino a 1 anno</t>
  </si>
  <si>
    <t>Da 1 a 2 anni</t>
  </si>
  <si>
    <t>Da 2 a 3 anni</t>
  </si>
  <si>
    <t>Oltre i 3 anni</t>
  </si>
  <si>
    <t>Uomo / Donna</t>
  </si>
  <si>
    <t>XX</t>
  </si>
  <si>
    <t>Personale con contratti di collaborazione coordinata e continuativa</t>
  </si>
  <si>
    <t>Tempo determinato</t>
  </si>
  <si>
    <t>TOTALE Tempo determinato</t>
  </si>
  <si>
    <t>Z01</t>
  </si>
  <si>
    <t>T2A</t>
  </si>
  <si>
    <t>CoCoCo</t>
  </si>
  <si>
    <t>Indicare il numero dei contratti co.co.co. attivi nel corso dell’anno secondo la tipologia:</t>
  </si>
  <si>
    <t>Convenzioni esterni (IN) (Tab 3)</t>
  </si>
  <si>
    <t>Convenzioni interni (OUT) (Tab 3)</t>
  </si>
  <si>
    <t>o</t>
  </si>
  <si>
    <t>q</t>
  </si>
  <si>
    <t>r</t>
  </si>
  <si>
    <t>t</t>
  </si>
  <si>
    <t>Totale (Uomini + donne della sezione "Personale Esterno" COMANDATI / DISTACCATI + FUORI RUOLO+CONVENZIONI)+Mensilità medie da T12(mensilità /12)</t>
  </si>
  <si>
    <t>Quanti dei contratti co.co.co. attivi nel corso dell’anno hanno un compenso maggiore di € 20.000?</t>
  </si>
  <si>
    <r>
      <t xml:space="preserve">I co.co.co. attivi nel corso dell’anno quante persone diverse hanno riguardato? </t>
    </r>
    <r>
      <rPr>
        <b/>
        <i/>
        <sz val="11"/>
        <rFont val="Arial"/>
        <family val="2"/>
      </rPr>
      <t>(Poiché con una stessa persona possono essere stipulati più co.co.co. si chiede di specificare il n. delle persone che hanno avuto almeno un co.co.co. attivo nel corso dell’anno)</t>
    </r>
  </si>
  <si>
    <t xml:space="preserve">   Suddividere le persone con cui sono stati stipulati uno o più contratti co.co.co. in base ai titoli di studio:</t>
  </si>
  <si>
    <t xml:space="preserve">     </t>
  </si>
  <si>
    <t>valore</t>
  </si>
  <si>
    <t xml:space="preserve">Assunzione per chiamata diretta (L. 68/99 - categorie protette) </t>
  </si>
  <si>
    <t xml:space="preserve">Assunzione per chiamata numerica (L. 68/99 - categorie protette) </t>
  </si>
  <si>
    <t>Passaggi da altra Amministrazione dello stesso comparto (*)</t>
  </si>
  <si>
    <t>Passaggi da altra Amministrazione di altro comparto (*)</t>
  </si>
  <si>
    <t>Tavola di controllo dei Valori Medi</t>
  </si>
  <si>
    <t>valori medi assenze</t>
  </si>
  <si>
    <r>
      <t xml:space="preserve">mensilità medie </t>
    </r>
    <r>
      <rPr>
        <b/>
        <sz val="7"/>
        <rFont val="Arial"/>
        <family val="2"/>
      </rPr>
      <t xml:space="preserve">
</t>
    </r>
    <r>
      <rPr>
        <sz val="7"/>
        <rFont val="Arial"/>
        <family val="2"/>
      </rPr>
      <t>(mensilità/12)</t>
    </r>
  </si>
  <si>
    <t>ASSENZE RETRIBUITE</t>
  </si>
  <si>
    <t>ASSENZE NON RETRIBUITE</t>
  </si>
  <si>
    <r>
      <t xml:space="preserve">TOTALE VOCI STIPENDIALI
TABELLA 12
</t>
    </r>
    <r>
      <rPr>
        <sz val="7"/>
        <rFont val="Small Fonts"/>
        <family val="2"/>
      </rPr>
      <t>(esclusi arr. anni prec. e recuperi)</t>
    </r>
  </si>
  <si>
    <t>INDENNITA' FISSE</t>
  </si>
  <si>
    <t>ALTRE ACCESSORIE</t>
  </si>
  <si>
    <r>
      <t xml:space="preserve">TOTALE INDENNITA' FISSE ED ACCESSORIE
TABELLA 13
</t>
    </r>
    <r>
      <rPr>
        <sz val="7"/>
        <rFont val="Small Fonts"/>
        <family val="2"/>
      </rPr>
      <t>(esclusi arretrati anni precedenti)</t>
    </r>
  </si>
  <si>
    <t>COMPONENTI COLLEGIO DEI REVISORI (O ORGANO EQUIVALENTE)</t>
  </si>
  <si>
    <t>RESPONSABILE DEL PROCEDIMENTO AMMINISTRATIVO DI CUI ALLA LEGGE 7/8/90, N. 241 CAPO II°</t>
  </si>
  <si>
    <t>Anzianità di servizio maturata al 31/12, anche in modo non continuativo, nell'attuale o in altre amministrazioni</t>
  </si>
  <si>
    <t>SCIOPERO</t>
  </si>
  <si>
    <t>Tavola di compresenza tra importi comunicati in tab.13 e mensilità (tab.12) o personale esterno (tab.3)</t>
  </si>
  <si>
    <t>INFORMAZIONI ISTITUZIONE</t>
  </si>
  <si>
    <t>DOMANDE PRESENTI IN CIRCOLARE</t>
  </si>
  <si>
    <t>Collocamento a riposo per limiti di età</t>
  </si>
  <si>
    <t>Dimissioni (con diritto a pensione)</t>
  </si>
  <si>
    <t>Passaggi per esternalizzazioni (*)</t>
  </si>
  <si>
    <t>ALTRE SPESE ACCESSORIE ED INDENNITA' VARIE</t>
  </si>
  <si>
    <t>Nomina da concorso</t>
  </si>
  <si>
    <t>C01</t>
  </si>
  <si>
    <t>C03</t>
  </si>
  <si>
    <t>C17</t>
  </si>
  <si>
    <t>C18</t>
  </si>
  <si>
    <t>C19</t>
  </si>
  <si>
    <t>C99</t>
  </si>
  <si>
    <t>A23</t>
  </si>
  <si>
    <t>A24</t>
  </si>
  <si>
    <t>A27</t>
  </si>
  <si>
    <t>A28</t>
  </si>
  <si>
    <t>A29</t>
  </si>
  <si>
    <t>A30</t>
  </si>
  <si>
    <t>A31</t>
  </si>
  <si>
    <t>Totale Risorse fisse</t>
  </si>
  <si>
    <t>Risorse variabili</t>
  </si>
  <si>
    <t>Totale Risorse variabili</t>
  </si>
  <si>
    <t>ALTRI PERMESSI ED ASSENZE RETRIBUITE</t>
  </si>
  <si>
    <t>ASS.RETRIB.:MATERNITA',CONGEDO PARENT.,MALATTIA FIGLIO</t>
  </si>
  <si>
    <t>LEGGE 104/92</t>
  </si>
  <si>
    <t>ASSENZE PER MALATTIA RETRIBUITE</t>
  </si>
  <si>
    <t>M04</t>
  </si>
  <si>
    <t>PR4</t>
  </si>
  <si>
    <t>PR5</t>
  </si>
  <si>
    <t>PR6</t>
  </si>
  <si>
    <t>ABRUZZO</t>
  </si>
  <si>
    <t xml:space="preserve">GESTIONE MENSE </t>
  </si>
  <si>
    <t>SOMME CORRISPOSTE AD AGENZIA DI SOMMINISTRAZIONE(INTERINALI)</t>
  </si>
  <si>
    <t>INCARICHI LIBERO PROFESSIONALI/STUDIO/RICERCA/CONSULENZA</t>
  </si>
  <si>
    <t>RETRIBUZIONI PERSONALE  A TEMPO DETERMINATO</t>
  </si>
  <si>
    <t>RETRIBUZIONI PERSONALE CON CONTRATTO DI FORMAZIONE E LAVORO</t>
  </si>
  <si>
    <t>CONTRIBUTI A CARICO DELL'AMM.NE SU COMP. FISSE E ACCESSORIE</t>
  </si>
  <si>
    <t>QUOTE ANNUE ACCANTONAMENTO TFR O ALTRA IND. FINE SERVIZIO</t>
  </si>
  <si>
    <t>ONERI PER I CONTRATTI DI SOMMINISTRAZIONE(INTERINALI)</t>
  </si>
  <si>
    <t>P098</t>
  </si>
  <si>
    <r>
      <t>ANOMALIE RISCONTRATE</t>
    </r>
    <r>
      <rPr>
        <b/>
        <sz val="10"/>
        <rFont val="Arial"/>
        <family val="2"/>
      </rPr>
      <t xml:space="preserve">
(attenzione: la seguente sezione verrà compilata in automatico; all'atto dell'inserimento dei dati nel kit verranno evidenziate eventuali anomalie)</t>
    </r>
  </si>
  <si>
    <t>Congruenza (max scostamento consentito +/- 2%)</t>
  </si>
  <si>
    <t>v. a. di f&lt;=2%</t>
  </si>
  <si>
    <t>tra 41 e 43 anni</t>
  </si>
  <si>
    <t>44 e oltre</t>
  </si>
  <si>
    <t>tra 65 e 67 anni</t>
  </si>
  <si>
    <t>68 e oltre</t>
  </si>
  <si>
    <t>C25</t>
  </si>
  <si>
    <t>Licenziamenti</t>
  </si>
  <si>
    <t>O10</t>
  </si>
  <si>
    <t>CONGEDI RETRIBUITI AI SENSI DELL'ART.42,C.5, DLGS 151/2001</t>
  </si>
  <si>
    <t>SOMME RIMBORSATE PER PERSONALE COMAND./FUORI RUOLO/IN CONV.</t>
  </si>
  <si>
    <t>ALTRE SOMME RIMBORSATE ALLE AMMINISTRAZIONI</t>
  </si>
  <si>
    <t>P074</t>
  </si>
  <si>
    <t>P099</t>
  </si>
  <si>
    <t>c=(b/a)</t>
  </si>
  <si>
    <t>f=(e/a)</t>
  </si>
  <si>
    <t>Incidenza percentuale arretrati a.p.</t>
  </si>
  <si>
    <t>Incidenza percentuale altre accessorie</t>
  </si>
  <si>
    <t>Incongruenza 8</t>
  </si>
  <si>
    <t>IN 8</t>
  </si>
  <si>
    <t>c&lt;=20%</t>
  </si>
  <si>
    <t>f&lt;=20%</t>
  </si>
  <si>
    <t>Congruenza (max incidenza consentita 20%)</t>
  </si>
  <si>
    <t>Tavola di controllo della spesa per "arretrati a.p." e "altre accessorie" di T13: incidenza % di ciascun valore sul totale di Tabella 13</t>
  </si>
  <si>
    <t>A015</t>
  </si>
  <si>
    <t>A035</t>
  </si>
  <si>
    <t>A045</t>
  </si>
  <si>
    <t>A070</t>
  </si>
  <si>
    <t>M000</t>
  </si>
  <si>
    <t>NOTE</t>
  </si>
  <si>
    <t>Voce di spesa (Tab 14)</t>
  </si>
  <si>
    <t>codice (Tab 14)</t>
  </si>
  <si>
    <t>Valore Medio Unitario:
b / a</t>
  </si>
  <si>
    <t>Incidenza % 
L105 / P062</t>
  </si>
  <si>
    <t>Compresenza 
e/o 
controllo incidenza %</t>
  </si>
  <si>
    <t>RIMBORSI RICEVUTI PER PERS. COMAND./FUORI RUOLO/IN CONV. (-)</t>
  </si>
  <si>
    <t>SOMME RICEVUTE DA U.E. E/O PRIVATI (-)</t>
  </si>
  <si>
    <t>ALTRI RIMBORSI RICEVUTI DALLE AMMINISTRAZIONI (-)</t>
  </si>
  <si>
    <t>(*)  gli importi vanno indicati in EURO, senza cifre decimali (cfr. circolare: "istruzioni generali e specifiche di comparto")</t>
  </si>
  <si>
    <r>
      <t xml:space="preserve">valori medi annui pro-capite per voci retributive a carattere "stipendiale" </t>
    </r>
    <r>
      <rPr>
        <sz val="8"/>
        <rFont val="Arial"/>
        <family val="2"/>
      </rPr>
      <t>(**)</t>
    </r>
  </si>
  <si>
    <r>
      <t>valori medi annui pro-capite per indennità e compensi accessori</t>
    </r>
    <r>
      <rPr>
        <sz val="8"/>
        <rFont val="Arial"/>
        <family val="2"/>
      </rPr>
      <t xml:space="preserve"> (**)</t>
    </r>
  </si>
  <si>
    <t>(**) Valore medio annuo pro-capite calcolato dividendo la spesa per le unità di riferimento (mensilità della T12 / 12)</t>
  </si>
  <si>
    <t>assenze in T11, ma nessuna unità in T1</t>
  </si>
  <si>
    <t xml:space="preserve">Controllo incidenza % L105 / P062  =&gt;  </t>
  </si>
  <si>
    <t>Incongruenza
[(a-gg formazione)&gt;(mens.T12/12*260)]</t>
  </si>
  <si>
    <t>T12 non compilata o assenze comunicate &gt; gg lavorabili (</t>
  </si>
  <si>
    <t>CNEL</t>
  </si>
  <si>
    <t>DIRIGENTE I FASCIA</t>
  </si>
  <si>
    <t>0D0077</t>
  </si>
  <si>
    <t>DIRIGENTE I FASCIA A TEMPO DETERM.</t>
  </si>
  <si>
    <t>0D0078</t>
  </si>
  <si>
    <t>DIRIGENTE II FASCIA</t>
  </si>
  <si>
    <t>0D0079</t>
  </si>
  <si>
    <t>DIRIGENTE II FASCIA A TEMPO DETERM.</t>
  </si>
  <si>
    <t>0D0080</t>
  </si>
  <si>
    <t>POSIZIONE ECONOMICA C5</t>
  </si>
  <si>
    <t>046000</t>
  </si>
  <si>
    <t>POSIZIONE ECONOMICA C4</t>
  </si>
  <si>
    <t>045000</t>
  </si>
  <si>
    <t>POSIZIONE ECONOMICA C3</t>
  </si>
  <si>
    <t>043000</t>
  </si>
  <si>
    <t>POSIZIONE ECONOMICA C2</t>
  </si>
  <si>
    <t>042000</t>
  </si>
  <si>
    <t>POSIZIONE ECONOMICA C1</t>
  </si>
  <si>
    <t>040000</t>
  </si>
  <si>
    <t>POSIZIONE ECONOMICA B4</t>
  </si>
  <si>
    <t>036000</t>
  </si>
  <si>
    <t>POSIZIONE ECONOMICA B3</t>
  </si>
  <si>
    <t>034000</t>
  </si>
  <si>
    <t>POSIZIONE ECONOMICA B2</t>
  </si>
  <si>
    <t>032000</t>
  </si>
  <si>
    <t>POSIZIONE ECONOMICA B1</t>
  </si>
  <si>
    <t>030000</t>
  </si>
  <si>
    <t>POSIZIONE ECONOMICA A3</t>
  </si>
  <si>
    <t>027000</t>
  </si>
  <si>
    <t>POSIZIONE ECONOMICA A2</t>
  </si>
  <si>
    <t>025000</t>
  </si>
  <si>
    <t>POSIZIONE ECONOMICA A1</t>
  </si>
  <si>
    <t>023000</t>
  </si>
  <si>
    <t>CONTRATTISTI (a)</t>
  </si>
  <si>
    <t>000061</t>
  </si>
  <si>
    <t>AREA C</t>
  </si>
  <si>
    <t>AC</t>
  </si>
  <si>
    <t>AREA B</t>
  </si>
  <si>
    <t>AB</t>
  </si>
  <si>
    <t>AREA A</t>
  </si>
  <si>
    <t>AA</t>
  </si>
  <si>
    <t>PERSONALE CONTRATTISTA</t>
  </si>
  <si>
    <t>IND. DI VACANZA CONTRATTUALE</t>
  </si>
  <si>
    <t>INDENNITA' DI AMMINISTRAZIONE</t>
  </si>
  <si>
    <t>RETRIBUZIONE DI POSIZIONE</t>
  </si>
  <si>
    <t>RETRIBUZIONE DI POSIZIONE - QUOTA VARIABILE</t>
  </si>
  <si>
    <t>RETRIBUZIONE DI RISULTATO</t>
  </si>
  <si>
    <t>IND. PROV. DA PROVV. SPECIFICI</t>
  </si>
  <si>
    <t>I422</t>
  </si>
  <si>
    <t>I110</t>
  </si>
  <si>
    <t>I207</t>
  </si>
  <si>
    <t>I507</t>
  </si>
  <si>
    <t>I212</t>
  </si>
  <si>
    <t>I517</t>
  </si>
  <si>
    <t>INDENNITA'  FUNZIONE POSIZIONI ORGANIZZATIVE</t>
  </si>
  <si>
    <t>S616</t>
  </si>
  <si>
    <t xml:space="preserve">COMPENSI PRODUTTIVITA' </t>
  </si>
  <si>
    <t>S630</t>
  </si>
  <si>
    <t>1F</t>
  </si>
  <si>
    <t>2F</t>
  </si>
  <si>
    <t>FONDO 2004 CERT ORG CONTR. / PARTE FISSA (ART1 C189 L266/05)</t>
  </si>
  <si>
    <t>F76G</t>
  </si>
  <si>
    <t>INCREMENTI CCNL 04-05 (ART. 4 C. 1 ALINEA 2 E 3)</t>
  </si>
  <si>
    <t>F05H</t>
  </si>
  <si>
    <t>INCREMENTI CCNL 06-09 (ART. 20 C. 1)</t>
  </si>
  <si>
    <t>F57E</t>
  </si>
  <si>
    <t>INCREMENTI CCNL 08-09 (ART. 4 C. 1)</t>
  </si>
  <si>
    <t>F73C</t>
  </si>
  <si>
    <t>RIA PERS. CESSATO BASE ANNUA (ART.51 C. 4 P. 1 CCNL 02-05)</t>
  </si>
  <si>
    <t>F74C</t>
  </si>
  <si>
    <t>NUOVI SERV. O RIORG. - STAB (ART. 51 C. 7 CCNL 02-05)</t>
  </si>
  <si>
    <t>F75C</t>
  </si>
  <si>
    <t>ALTRE RISORSE FISSE CON CARATTERE DI CERTEZZA E STABILITÀ</t>
  </si>
  <si>
    <t>F998</t>
  </si>
  <si>
    <t>ENTRATE CONTO TERZI O UTENZA O SPONSORIZZ. (ART 43 L 449/97)</t>
  </si>
  <si>
    <t>F50H</t>
  </si>
  <si>
    <t>F51H</t>
  </si>
  <si>
    <t>RIS. DA TERZI INCARICHI AGG.VI (ART.51 C. 3 L. A CCNL 02-03)</t>
  </si>
  <si>
    <t>F59E</t>
  </si>
  <si>
    <t>SPEC. DISP. DI LEGGE O REG.TI (ART. 51 C. 3 L. D CCNL 02-05)</t>
  </si>
  <si>
    <t>F22E</t>
  </si>
  <si>
    <t>RIA CESS. ANNO PREC. ACC. (ART. 51 C. 4 PP. 2-3 CCNL 02-05)</t>
  </si>
  <si>
    <t>F77C</t>
  </si>
  <si>
    <t>NUOVI SERV / RIORG. EVENTI ECCEZ. (ART. 51 C. 8 CCNL 02-05)</t>
  </si>
  <si>
    <t>F60E</t>
  </si>
  <si>
    <t>ALTRE RISORSE VARIABILI</t>
  </si>
  <si>
    <t>F995</t>
  </si>
  <si>
    <t>SOMME NON UTILIZZATE FONDO ANNO PRECEDENTE</t>
  </si>
  <si>
    <t>F999</t>
  </si>
  <si>
    <t>RETRIBUZIONE DI POSIZIONE - PARTE FISSA</t>
  </si>
  <si>
    <t>U508</t>
  </si>
  <si>
    <t>RETRIBUZIONE DI POSIZIONE - PARTE VARIABILE</t>
  </si>
  <si>
    <t>U509</t>
  </si>
  <si>
    <t>U449</t>
  </si>
  <si>
    <t>ALTRI ISTITUTI NON COMPRESI FRA I PRECEDENTI</t>
  </si>
  <si>
    <t>U998</t>
  </si>
  <si>
    <t>INCREMENTI CCNL 04-05 (ART. 7 C. 1 ALINEA 2 E 3)</t>
  </si>
  <si>
    <t>F11H</t>
  </si>
  <si>
    <t>INCREMENTI CCNL 06-09 (ART. 23 C. 1)</t>
  </si>
  <si>
    <t>F61E</t>
  </si>
  <si>
    <t>INCREMENTI CCNL 08-09 (ART. 7 C. 1)</t>
  </si>
  <si>
    <t>F84C</t>
  </si>
  <si>
    <t>RIA PERS. CESSATO MISURA INTERA (ART58 C4 P1 CCNL02-05)</t>
  </si>
  <si>
    <t>F89C</t>
  </si>
  <si>
    <t>NUOVI SERV. O RIORG. - STAB (ART. 58 C. 7 CCNL 02-05)</t>
  </si>
  <si>
    <t>F90C</t>
  </si>
  <si>
    <t>SPEC. DISP. DI LEGGE O REG.TI (ART. 58 C. 3 L. B CCNL 02-05)</t>
  </si>
  <si>
    <t>F92C</t>
  </si>
  <si>
    <t>MAGG. ENTR. O EC. GEST. (ART. 58 C. 3 L. C CCNL 02-05)</t>
  </si>
  <si>
    <t>F93C</t>
  </si>
  <si>
    <t>RIS. DA TERZI INCARICHI AGG.VI (ART.58 C. 3 L. D CCNL 02-05)</t>
  </si>
  <si>
    <t>F94C</t>
  </si>
  <si>
    <t>RATEO RIA CESS ANNO PREC. ACC. (ART 58 C 4 PP 2-3 CCNL02-05)</t>
  </si>
  <si>
    <t>F91C</t>
  </si>
  <si>
    <t>NUOVI SERV / RIORG. EVENTI ECCEZ. (ART 58 CC 7, 9 CCNL02-05)</t>
  </si>
  <si>
    <t>F63E</t>
  </si>
  <si>
    <t>Indicare il numero dei contratti di collaborazione coordinata e continuativa.</t>
  </si>
  <si>
    <t>Indicare il numero degli incarichi libero professionale, studio, ricerca e consulenza.</t>
  </si>
  <si>
    <t>Indicare il numero di contratti per prestazioni professionali consistenti nella resa di servizi o adempimenti obbligatori per legge.</t>
  </si>
  <si>
    <t>Indicare il totale delle somme trattenute ai dipendenti nell'anno di rilevazione per le assenze per malattia in applicazione dell'art. 71 del D.L. n. 112 del 25/06/2008 convertito in L. 133/2008.</t>
  </si>
  <si>
    <t>Quanti sono i dipendenti al 31.12 in aspettativa per dottorato di ricerca con retribuzione a carico dell'amministrazione ai sensi dell’articolo 2 della legge 476/1984 e s.m.?</t>
  </si>
  <si>
    <t>Indicare il numero delle unita rilevate in tabella 1 tra i "presenti al 31.12" che risultavano titolari di permessi per legge n. 104/92.</t>
  </si>
  <si>
    <t>Indicare il numero delle unita rilevate in tabella 1 tra i "presenti al 31.12" che risultavano titolari di permessi ai sensi dell'art. 42, c.5 D.lgs.151/2001.</t>
  </si>
  <si>
    <t>COMPETENZE PERSONALE COMANDATO/DISTACCATO PRESSO L'AMM.NE</t>
  </si>
  <si>
    <t>S761</t>
  </si>
  <si>
    <t>TOTALE del personale da distribuire</t>
  </si>
  <si>
    <t>Domande SI_1</t>
  </si>
  <si>
    <t>Unità annue
dichiarate in SI_1</t>
  </si>
  <si>
    <t>Totale presenti al
31-12 dichiarati in T1</t>
  </si>
  <si>
    <t>Controllo</t>
  </si>
  <si>
    <t>Assenze dichiarate</t>
  </si>
  <si>
    <t xml:space="preserve">Compresenza </t>
  </si>
  <si>
    <t>REFERENTE DA CONTATTARE</t>
  </si>
  <si>
    <t>VOCI DI SPESA RILEVATE</t>
  </si>
  <si>
    <t>IMPORTO SICO</t>
  </si>
  <si>
    <t>TABELLA 12</t>
  </si>
  <si>
    <t>A999</t>
  </si>
  <si>
    <t>TABELLA 13</t>
  </si>
  <si>
    <t>###</t>
  </si>
  <si>
    <t>ASSEGNI NUCLEO FAMILIARE</t>
  </si>
  <si>
    <t>GESTIONE MENSE</t>
  </si>
  <si>
    <t>CONTRATTI PER RESA SERVIZI /ADEMPIMENTI OBBLIGATORI PER LEGGE</t>
  </si>
  <si>
    <t xml:space="preserve">CONTRIBUTI A CARICO DELL'AMMINISTRAZIONE SU COMPETENZE FISSE ED ACCESSORIE </t>
  </si>
  <si>
    <t xml:space="preserve">IRAP </t>
  </si>
  <si>
    <t>SOMME RIMBORSATE ALLE AMMINISTRAZIONI PER SPESE DI PERSONALE (sommatoria dei diversi rimborsi presenti in tabella 14)</t>
  </si>
  <si>
    <t>P998</t>
  </si>
  <si>
    <t>TOTALE GENERALE</t>
  </si>
  <si>
    <t>RIMBORSI RICEVUTI  DALLE AMMINISTRAZIONI PER SPESE DI PERSONALE  (a riduzione) (sommatoria dei diversi rimborsi presenti in tabella 14)</t>
  </si>
  <si>
    <t>P999</t>
  </si>
  <si>
    <t>TOTALE GENERALE AL NETTO DEI RIMBORSI</t>
  </si>
  <si>
    <t>TRC</t>
  </si>
  <si>
    <t>IN 3</t>
  </si>
  <si>
    <t>NOTE: Elenco Istituzioni ed importi dei rimborsi effettuati (**)</t>
  </si>
  <si>
    <t>NOTE: Elenco Istituzioni ed importi dei rimborsi ricevuti (***)</t>
  </si>
  <si>
    <t>(**) campo riservato all'inserimento delle informazioni di dettaglio (nome Istituzione ed importo) riguardanti i rimborsi effettuati (P071, P074). Eventuali note su altre voci di spesa dovranno essere immesse nel campo "note e chiarimenti" della SI_1</t>
  </si>
  <si>
    <t>(***) campo riservato all'inserimento delle informazioni di dettaglio (nome Istituzione ed importo) riguardanti i rimborsi ricevuti (P090, P098, P099). Eventuali note su altre voci di spesa dovranno essere immesse nel campo "note e chiarimenti" della SI_1</t>
  </si>
  <si>
    <t>SOMME CORRISPOSTE AD AGENZIA DI SOMMINISTRAZIONE (INTERINALI)</t>
  </si>
  <si>
    <t>ONERI PER I CONTRATTI DI SOMMINISTRAZIONE (INTERINALI)</t>
  </si>
  <si>
    <t xml:space="preserve">RETRIBUZIONI PERSONALE A TEMPO DETERMINATO </t>
  </si>
  <si>
    <t>QUOTE ANNUE DI ACCANTONAMENTO  TFR O ALTRA INDENNITA'  FINE SERVIZIO</t>
  </si>
  <si>
    <t>COMPENSI PER PERSONALE ADDETTO A LAVORI SOCIALMENTE UTILI</t>
  </si>
  <si>
    <t>C21</t>
  </si>
  <si>
    <t>CONTRIBUTI A CARICO DELL'AMM.NE PER FONDI PREV. COMPLEMENTARE</t>
  </si>
  <si>
    <t>P035</t>
  </si>
  <si>
    <t>Si</t>
  </si>
  <si>
    <t>No</t>
  </si>
  <si>
    <r>
      <rPr>
        <b/>
        <sz val="7"/>
        <rFont val="Helv"/>
        <family val="0"/>
      </rPr>
      <t>IRAP</t>
    </r>
    <r>
      <rPr>
        <sz val="7"/>
        <rFont val="Helv"/>
        <family val="0"/>
      </rPr>
      <t xml:space="preserve">
</t>
    </r>
    <r>
      <rPr>
        <b/>
        <sz val="7"/>
        <rFont val="Helv"/>
        <family val="0"/>
      </rPr>
      <t>Commerciale</t>
    </r>
  </si>
  <si>
    <t>Personale assunto con procedure Art. 35, c.3-Bis, DLGS 156/01</t>
  </si>
  <si>
    <t>Personale assunto con procedure Art. 4, c.6,  L. 125/13</t>
  </si>
  <si>
    <t>A35</t>
  </si>
  <si>
    <t>A40</t>
  </si>
  <si>
    <t>Coerenza T1 con personale T3 OUT</t>
  </si>
  <si>
    <t>Coerenza distribuzione territoriale</t>
  </si>
  <si>
    <t>l&gt;=(p+q+r+s+t)</t>
  </si>
  <si>
    <t>a&gt;=(e+f+g+h+i)</t>
  </si>
  <si>
    <t xml:space="preserve">sono presenti unità in T1 o personale esterno in T3, ma non assenze in T11 </t>
  </si>
  <si>
    <t>ATTENZIONE: Per gli Enti che non sono tenuti all’invio della Tabella 10, la Tavola va considerata con riferimento al diagnostico della colonna “Coerenza T1 con personale T3 OUT”</t>
  </si>
  <si>
    <t>ECONOMIE AGGIUNTIVE (ART. 16 CC. 4-5 L. 111/11)</t>
  </si>
  <si>
    <t>F96H</t>
  </si>
  <si>
    <t>Totale Fondo posizione e risultato</t>
  </si>
  <si>
    <t>Personale stabilizzato da LSU/LPU</t>
  </si>
  <si>
    <t>COMPENSI PER PERSONALE LSU/LPU</t>
  </si>
  <si>
    <t>NOTE E CHIARIMENTI ALLA RILEVAZIONE
(max 1500 caratteri)</t>
  </si>
  <si>
    <t xml:space="preserve">Tavola di congruenza tra il personale a Tempo Determinato comunicato in T2 con la ripartizione dello stesso personale comunicato in T2A
</t>
  </si>
  <si>
    <t>Totale T2</t>
  </si>
  <si>
    <t>Totale T2A</t>
  </si>
  <si>
    <t>Confronto T2/T2A</t>
  </si>
  <si>
    <t>U+D</t>
  </si>
  <si>
    <t>a con d</t>
  </si>
  <si>
    <t>b con e</t>
  </si>
  <si>
    <t>IN 10</t>
  </si>
  <si>
    <r>
      <t xml:space="preserve">COGNOME </t>
    </r>
    <r>
      <rPr>
        <b/>
        <sz val="12"/>
        <rFont val="Arial"/>
        <family val="2"/>
      </rPr>
      <t>*</t>
    </r>
  </si>
  <si>
    <r>
      <t xml:space="preserve">NOME </t>
    </r>
    <r>
      <rPr>
        <b/>
        <sz val="12"/>
        <rFont val="Arial"/>
        <family val="2"/>
      </rPr>
      <t>*</t>
    </r>
  </si>
  <si>
    <r>
      <t xml:space="preserve">E-Mail </t>
    </r>
    <r>
      <rPr>
        <b/>
        <sz val="12"/>
        <rFont val="Arial"/>
        <family val="2"/>
      </rPr>
      <t>*</t>
    </r>
  </si>
  <si>
    <r>
      <rPr>
        <sz val="8"/>
        <rFont val="Arial"/>
        <family val="2"/>
      </rPr>
      <t xml:space="preserve">TELEFONO </t>
    </r>
    <r>
      <rPr>
        <b/>
        <sz val="12"/>
        <rFont val="Arial"/>
        <family val="2"/>
      </rPr>
      <t>*</t>
    </r>
  </si>
  <si>
    <t>Quante persone sono state impiegate nell'anno (TEMPO DETER., CO.CO.CO., INCARICHI O ALTRI TIPI DI LAV. FLESSIBILE) il cui costo è totalmente sostenutocon finanziamenti esterni dellU.E. o di privati?</t>
  </si>
  <si>
    <t>(sono evidenziate le qualifiche valorizzate per l'anno)</t>
  </si>
  <si>
    <t>(sono evidenziate quelle valorizzate nella T1)</t>
  </si>
  <si>
    <t>Risoluz. rapporto di lavoro</t>
  </si>
  <si>
    <t>Somme
dichiarate in SI_1</t>
  </si>
  <si>
    <t>Importo totale della retribuzione di risultato erogata a valere sul fondo dell'anno di rilevazione</t>
  </si>
  <si>
    <t>DECURTAZIONE PERMANENTE EX ART. 1 C. 456 L. 147/2013</t>
  </si>
  <si>
    <t>F27I</t>
  </si>
  <si>
    <t>I418</t>
  </si>
  <si>
    <t>ASSEGO AD PERSONAM</t>
  </si>
  <si>
    <t xml:space="preserve"> Incongruenza 1</t>
  </si>
  <si>
    <t>Tavola di compresenza tra valori di organico di personale con rapporto di lavoro flessibile di Scheda Informativa 1 e relativa spesa di Tabella 14</t>
  </si>
  <si>
    <t>Tipologia lavoro flessibile (SI_1)</t>
  </si>
  <si>
    <t>Unità annue 
(SI_1)</t>
  </si>
  <si>
    <t xml:space="preserve"> Incongruenza 11</t>
  </si>
  <si>
    <t>Tavola di compresenza tra valori di organico di personale con rapporto di lavoro flessibile di Tabella 2 e relativa spesa di Tabella 14</t>
  </si>
  <si>
    <t>Tipologia lavoro flessibile (Tab 2)</t>
  </si>
  <si>
    <t>Unità annue 
(Tab 2)</t>
  </si>
  <si>
    <t xml:space="preserve"> Incongruenza 3</t>
  </si>
  <si>
    <t>Tavola di coerenza tra valori dichiarati in SI_1 come appartenenti a categorie protette, titolari di permessi per legge n. 104/92, titolari di permessi ai sensi dell'art. 42, comma 5 d.lgs. 151/2001, con il personale indicato in  Tab. 1</t>
  </si>
  <si>
    <t xml:space="preserve"> Incongruenza 12</t>
  </si>
  <si>
    <t xml:space="preserve">Tavola di compresenza tra valori dichiarati nella SI_1 come titolari di permessi per legge n. 104/92 e titolari di permessi ai sensi dell'art. 42, comma 5 d.lgs. 151/2001, con le giornate di assenza indicate in Tab. 11 </t>
  </si>
  <si>
    <t xml:space="preserve"> Incongruenza 13</t>
  </si>
  <si>
    <t>Tavola di compresenza tra le somme trattenute per malattia indicate nella SI_1 e i giorni di assenza per malattia retribuita indicati nella Tab. 11</t>
  </si>
  <si>
    <t>Tavola di congruenza tra i giorni di assenza indicati nella Tabella 11 e i valori di organico inseriti nelle Tabelle 1, 3, 4, 5 (incongruenza 7)</t>
  </si>
  <si>
    <t xml:space="preserve">Tavola di congruenza tra i giorni totali pro-capite di assenza (escluse assenze per formazione e quelle non retribuite) calcolati dai valori indicati nella Tabella 11, con il numero MAX dei gg lavorativi annui
</t>
  </si>
  <si>
    <t>Totale della Tabella T11 esclusa formazione e altre ass. non retribuite</t>
  </si>
  <si>
    <t>Mensilità/12</t>
  </si>
  <si>
    <t>Incongruenza 14</t>
  </si>
  <si>
    <t>IN 11</t>
  </si>
  <si>
    <t>IN 12</t>
  </si>
  <si>
    <t>IN 13</t>
  </si>
  <si>
    <t>IN 14</t>
  </si>
  <si>
    <t>IN 15</t>
  </si>
  <si>
    <t>IN 16</t>
  </si>
  <si>
    <t>SQ 9</t>
  </si>
  <si>
    <t>SQ10</t>
  </si>
  <si>
    <t>SICI</t>
  </si>
  <si>
    <r>
      <t>*(asterisco): si intende campo obbligatorio</t>
    </r>
  </si>
  <si>
    <t>SQUADRATURA 9</t>
  </si>
  <si>
    <t>Non operativa in assenza di corrispondente scheda SICI</t>
  </si>
  <si>
    <t>Fondo retribuzione di posizione e risultato</t>
  </si>
  <si>
    <t>Risorse / Costituzione del fondo</t>
  </si>
  <si>
    <t>Impeghi / Importi erogati</t>
  </si>
  <si>
    <t>Risorse fisse aventi carattere di certezza e stabilità</t>
  </si>
  <si>
    <t>Fondo</t>
  </si>
  <si>
    <t>Natura</t>
  </si>
  <si>
    <t>Voce</t>
  </si>
  <si>
    <t>Dato</t>
  </si>
  <si>
    <t>INCONGRUENZA 15</t>
  </si>
  <si>
    <t>SCHEDA UNIFICATA EX ART. 40 BIS, COMMA 3 DEL D.LGS. N.165/2001:</t>
  </si>
  <si>
    <t>SQUADRATURA 10</t>
  </si>
  <si>
    <t>"SPECIFICHE INFORMAZIONI SULLA CONTRATTAZIONE INTEGRATIVA"</t>
  </si>
  <si>
    <t>INCONGRUENZA 16</t>
  </si>
  <si>
    <t>MACROCATEGORIA: DIRIGENTI DI 2^ FASCIA</t>
  </si>
  <si>
    <t>Contatore</t>
  </si>
  <si>
    <t>GEN</t>
  </si>
  <si>
    <t>FONDO RELATIVO ALL'ANNO DI RILEVAZIONE / TEMPISTICA DELLA C.I.</t>
  </si>
  <si>
    <t>Cod_sez</t>
  </si>
  <si>
    <t>Cod_dom</t>
  </si>
  <si>
    <t>Tipo_dom</t>
  </si>
  <si>
    <t>GEN172</t>
  </si>
  <si>
    <t>FLAG</t>
  </si>
  <si>
    <t>L'amministrazione, alla data di compilazione/rettifica della presente scheda, ha contezza formale e certificata dall'organo di controllo del limite di spesa rappresentato dal fondo/i per la contrattazione integrativa dell'anno di rilevazione (S/N)?</t>
  </si>
  <si>
    <t>GEN207</t>
  </si>
  <si>
    <t>È prevista una certificazione disgiunta per le risorse (costituzione) e per gli impieghi (contratto integrativo) secondo quanto raccomandato dalla circolare RGS n. 25/2012 (S/N)?</t>
  </si>
  <si>
    <t>DATE</t>
  </si>
  <si>
    <t>GEN195</t>
  </si>
  <si>
    <t>INT</t>
  </si>
  <si>
    <t>Annualità di ritardo nella certificazione del fondo/i contrattazione integrativa alla compilazione/rettifica della presente scheda (0=almeno costituzione fondo/i anno rilevazione certif.; 1=almeno costituzione fondo/i anno precedente certif. ecc.)</t>
  </si>
  <si>
    <t>LEG</t>
  </si>
  <si>
    <t>LEG263</t>
  </si>
  <si>
    <t>ORG</t>
  </si>
  <si>
    <t>ORGANIZZAZIONE E INCARICHI</t>
  </si>
  <si>
    <t>ORG189</t>
  </si>
  <si>
    <t>Numero complessivo di funzioni dirigenziali di II^ fascia previste nell'ordinamento</t>
  </si>
  <si>
    <t>ORG268</t>
  </si>
  <si>
    <t>Numero di posizioni dirigenziali effettivamente coperte alla data del 31.12 dell'anno di rilevazione per la fascia più elevata</t>
  </si>
  <si>
    <t>ORG269</t>
  </si>
  <si>
    <t>Numero di posizioni dirigenziali effettivamente coperte alla data del 31.12 dell'anno di rilevazione per la fascia meno elevata</t>
  </si>
  <si>
    <t>ORG270</t>
  </si>
  <si>
    <t>Numero di posizioni dirigenziali effettivamente coperte alla data del 31.12 dell'anno di rilevazione per le restanti fasce</t>
  </si>
  <si>
    <t>ORG136</t>
  </si>
  <si>
    <t>ORG179</t>
  </si>
  <si>
    <t>ORG161</t>
  </si>
  <si>
    <t>ORG271</t>
  </si>
  <si>
    <t>Numero di posizioni dirigenziali effettivamente coperte alla data del 31.12 dell'anno di rilevazione con incarico ad interim</t>
  </si>
  <si>
    <t>ORG272</t>
  </si>
  <si>
    <t>PRD</t>
  </si>
  <si>
    <t>PRD137</t>
  </si>
  <si>
    <t>PRD115</t>
  </si>
  <si>
    <t>Importo totale della retribuzione di risultato non erogata a seguito della valutazione non piena con riferimento al fondo dell'anno di rilevazione</t>
  </si>
  <si>
    <t>PRD159</t>
  </si>
  <si>
    <t>Le retribuzioni di risultato sono correlate alla valutazione della prestazione dei dirigenti (S/N)?</t>
  </si>
  <si>
    <t>PRD273</t>
  </si>
  <si>
    <t>Sono utilizzati indicatori di risultato attinenti all'Ufficio o all'Ente nel suo complesso per la valutazione della retribuzione di risultato (S/N)?</t>
  </si>
  <si>
    <t>PRD274</t>
  </si>
  <si>
    <t>Sono utilizzati giudizi del nucleo di valutazione o di altro analogo organismo per la valutazione della retribuzione di risultato (S/N)?</t>
  </si>
  <si>
    <t>INF</t>
  </si>
  <si>
    <t>INFORMAZIONI / CHIARIMENTI</t>
  </si>
  <si>
    <t>INF209</t>
  </si>
  <si>
    <t>Informazioni/chiarimenti da parte dell'Organo di controllo (max 1.500 caratteri)</t>
  </si>
  <si>
    <t>INF127</t>
  </si>
  <si>
    <t>Informazioni/chiarimenti da parte dell'Amministrazione (max 1.500 caratteri)</t>
  </si>
  <si>
    <t>MACROCATEGORIA: PERSONALE NON DIRIGENTE</t>
  </si>
  <si>
    <t>ORG337</t>
  </si>
  <si>
    <t>Numero totale di posizioni organizzative ai sensi dell'art. 54, c. 2 del Ccnl 14.2.2001 previste nell'anno di rilevazione</t>
  </si>
  <si>
    <t>ORG145</t>
  </si>
  <si>
    <t>Numero di posizioni organizzative effettivamente coperte alla data del 31.12 dell'anno di rilevazione per la fascia più elevata</t>
  </si>
  <si>
    <t>ORG160</t>
  </si>
  <si>
    <t>Numero di posizioni organizzative effettivamente coperte alla data del 31.12 dell'anno di rilevazione per la fascia meno elevata</t>
  </si>
  <si>
    <t>ORG154</t>
  </si>
  <si>
    <t>Numero di posizioni organizzative effettivamente coperte alla data del 31.12 dell'anno di rilevazione per le restanti fasce</t>
  </si>
  <si>
    <t>PEO</t>
  </si>
  <si>
    <t>PROGRESSIONI ECONOMICHE ORIZZONTALI A VALERE SUL FONDO DELL'ANNO DI RILEVAZIONE</t>
  </si>
  <si>
    <t>PEO338</t>
  </si>
  <si>
    <t>Ai fini della procedura selettiva per l'attribuzione delle PEO è stato osservato il requisito di cui all'art. 3, c. 4 del Ccnl 18.11.2008 (S/N)?</t>
  </si>
  <si>
    <t>PEO111</t>
  </si>
  <si>
    <t>PEO188</t>
  </si>
  <si>
    <t>Numero totale delle PEO effettuate a valere sul fondo dell'anno di rilevazione</t>
  </si>
  <si>
    <t>PEO119</t>
  </si>
  <si>
    <t>PEO266</t>
  </si>
  <si>
    <t>Le PEO riferite all'anno di rilevazione hanno rispettato il principio di non retrodatazione oltre il 1 gennaio dell'anno di conclusione del procedimento (S/N)?</t>
  </si>
  <si>
    <t>PEO133</t>
  </si>
  <si>
    <t>PRD287</t>
  </si>
  <si>
    <t>PRD134</t>
  </si>
  <si>
    <t>AP</t>
  </si>
  <si>
    <t>Telelavoro/Smart working (**)
Personale indicato in T1</t>
  </si>
  <si>
    <t>ESONERI</t>
  </si>
  <si>
    <t>PERSONALE IN ASPETTATIVA</t>
  </si>
  <si>
    <t>R.I.A.</t>
  </si>
  <si>
    <t>PROGRESSIONE PER CLASSI E SCATTI/FASCE RETRIBUTIVE</t>
  </si>
  <si>
    <t>A031</t>
  </si>
  <si>
    <t>A032</t>
  </si>
  <si>
    <t>Esoneri (OUT)
(Tab 3)</t>
  </si>
  <si>
    <t>Personale in aspettativa (OUT)
(Tab 3)</t>
  </si>
  <si>
    <t>F02Z</t>
  </si>
  <si>
    <t>Decurtazioni</t>
  </si>
  <si>
    <t>DECURT. PER LIMITE ART1 C189 L266/05 (2004-10%)</t>
  </si>
  <si>
    <t>F02P</t>
  </si>
  <si>
    <t>Totale Decurtazioni</t>
  </si>
  <si>
    <t>TOTALE RISORSE CERTIFICATE</t>
  </si>
  <si>
    <t>Destinazioni effettivamente erogate a valere sul fondo dell'anno di riferimento</t>
  </si>
  <si>
    <t>Totale effettivamente erogato a valere sul Fondo anno di riferimento</t>
  </si>
  <si>
    <t>TOTALE IMPIEGHI EROGATI</t>
  </si>
  <si>
    <t>INCONGRUENZA 9</t>
  </si>
  <si>
    <t>GEN353</t>
  </si>
  <si>
    <t>Data di certificazione della sola costituzione del fondo/i specificamente riferita all'anno di rilevazione, da indicare solo in assenza di certificazione del contratto inttegrativo (art. 40-bis, c.1 del Dlgs 165/2001)</t>
  </si>
  <si>
    <t>GEN354</t>
  </si>
  <si>
    <t xml:space="preserve">Data di certificazione del solo contratto integrativo economico specificamente riferito al fondo/i dell'anno di rilevazione, sulla base di certificazione costituzione fondo effettuata in precedenza (art. 40-bis, c.1 del Dlgs 165/2001) </t>
  </si>
  <si>
    <t>GEN355</t>
  </si>
  <si>
    <t>Data di certificazione congiunta della costituzione del fondo e del contratto integrativo economico specificamente riferito al fondo/i dell'anno di rilevazione (art. 40-bis, c.1 del Dlgs 165/2001)</t>
  </si>
  <si>
    <t>ALTRE DECURTAZIONI DEL FONDO</t>
  </si>
  <si>
    <t>F01P</t>
  </si>
  <si>
    <t>F00P</t>
  </si>
  <si>
    <t>DEC FONDO RISPETTO LIMITE 2016 (ART. 23 C. 2 DLGS 75/2017)</t>
  </si>
  <si>
    <t>RETRIBUZIONE DI RISULTATO (onnicomprensività)</t>
  </si>
  <si>
    <t>U02I</t>
  </si>
  <si>
    <t>Totale effettivamente erogato a valere sul fondo anno di riferimento</t>
  </si>
  <si>
    <t>IN 9</t>
  </si>
  <si>
    <t>LSU/LPU/ASU(*)</t>
  </si>
  <si>
    <t>A41</t>
  </si>
  <si>
    <t>Personale assunto con procedure art. 20 D.Lgs.75/2017</t>
  </si>
  <si>
    <t>ELEMENTO PEREQUATIVO</t>
  </si>
  <si>
    <t>S770</t>
  </si>
  <si>
    <t>Art 76 c 2 Ccnl 16-18 - Unico importo consolidato 2017</t>
  </si>
  <si>
    <t>F05L</t>
  </si>
  <si>
    <t>Art 76 c 3 L a) Ccnl 16-18 - Incremento da 1.1.18</t>
  </si>
  <si>
    <t>F05M</t>
  </si>
  <si>
    <t>Art 76 c 3 L b) Ccnl 16-18 - RIA pers cessato misura intera</t>
  </si>
  <si>
    <t>F05N</t>
  </si>
  <si>
    <t>Art 76 c 3 L c) Ccnl 16-18 - Ind amm/ente pers cess non riut</t>
  </si>
  <si>
    <t>F05O</t>
  </si>
  <si>
    <t>Art 76 c 3 L d) Risorse riass ex art 2 c 3 DLgs 165/2001</t>
  </si>
  <si>
    <t>F08J</t>
  </si>
  <si>
    <r>
      <t>Art 73 c 1 Ccnl 16-18 - Ridet per increm stip Ccnl</t>
    </r>
    <r>
      <rPr>
        <vertAlign val="superscript"/>
        <sz val="8"/>
        <rFont val="Arial"/>
        <family val="2"/>
      </rPr>
      <t xml:space="preserve"> (**)</t>
    </r>
  </si>
  <si>
    <t>Altre risorse fisse</t>
  </si>
  <si>
    <t>Fondo risorse decentrate</t>
  </si>
  <si>
    <t>Art 43 L 449/1997 - Entr. conto terzi o utenza o sponsor.</t>
  </si>
  <si>
    <t>Art 43 L 449/1997 - Risparmi di gestione</t>
  </si>
  <si>
    <t>Art 16 cc 4-5-6 DL 98/11 - Risp. piani razionalizzazione</t>
  </si>
  <si>
    <t>F05R</t>
  </si>
  <si>
    <t>Art 76 c 4 L d) Ccnl 16-18 - RIA Ind amm/ente ces mens resid</t>
  </si>
  <si>
    <t>F05S</t>
  </si>
  <si>
    <t>Art 92 c 2 L a) Ccnl 16-18 - Nuovi servizi o riorg variab.</t>
  </si>
  <si>
    <t>Art 92 c 2 L b) Ccnl 16-18 - 1% m.s. 1999</t>
  </si>
  <si>
    <t>Art 92 c 2 L c) Ccnl 16-18 - Ris art 22 c 3 Ccnl 02-05</t>
  </si>
  <si>
    <t>Altre risorse variabili</t>
  </si>
  <si>
    <t>Somme non utilizzate fondo anno precedente</t>
  </si>
  <si>
    <t>Art 1 c 189 L 266/05 - Dec. fondo rispetto limite 2004-10%</t>
  </si>
  <si>
    <t>Art 1 c 456 L 147/2013 - Decurtazione permanente</t>
  </si>
  <si>
    <t>Art 23 c 2 DLgs 75/2017 - Dec. fondo rispetto limite 2016</t>
  </si>
  <si>
    <t xml:space="preserve">Art 40 c 3-q DLgs 165/2001 - Dec. anno per piani di recup. </t>
  </si>
  <si>
    <t>F01S</t>
  </si>
  <si>
    <t>Altre decurtazioni</t>
  </si>
  <si>
    <r>
      <t>Art 76 c 4 L c) Ccnl 16-18 - Altre spec. disp. di legge</t>
    </r>
    <r>
      <rPr>
        <vertAlign val="superscript"/>
        <sz val="8"/>
        <rFont val="Arial"/>
        <family val="2"/>
      </rPr>
      <t xml:space="preserve"> (**)</t>
    </r>
  </si>
  <si>
    <t>Art 77 c 1 Ccnl 16-18 - Differenziali progr ec storiche</t>
  </si>
  <si>
    <t>U02K</t>
  </si>
  <si>
    <t>U02L</t>
  </si>
  <si>
    <t>U02M</t>
  </si>
  <si>
    <t>U02N</t>
  </si>
  <si>
    <t>U02O</t>
  </si>
  <si>
    <t>U02P</t>
  </si>
  <si>
    <t>U02Q</t>
  </si>
  <si>
    <t>U02S</t>
  </si>
  <si>
    <t>Altri istituti non compresi fra i precedenti</t>
  </si>
  <si>
    <t>RISPETTO DI SPECIFICI LIMITI DI LEGGE</t>
  </si>
  <si>
    <r>
      <t xml:space="preserve">Costituzione fondi per il trattamento accessorio </t>
    </r>
    <r>
      <rPr>
        <vertAlign val="superscript"/>
        <sz val="10"/>
        <rFont val="Arial"/>
        <family val="2"/>
      </rPr>
      <t>(*)</t>
    </r>
  </si>
  <si>
    <r>
      <t>Destinazione fondi per il trattamento accessorio</t>
    </r>
    <r>
      <rPr>
        <sz val="10"/>
        <rFont val="Arial"/>
        <family val="2"/>
      </rPr>
      <t xml:space="preserve"> </t>
    </r>
    <r>
      <rPr>
        <vertAlign val="superscript"/>
        <sz val="10"/>
        <rFont val="Arial"/>
        <family val="2"/>
      </rPr>
      <t>(*)</t>
    </r>
  </si>
  <si>
    <t>Totale Fondo risorse decentrate</t>
  </si>
  <si>
    <t>F09N</t>
  </si>
  <si>
    <t>F09M</t>
  </si>
  <si>
    <t>F09O</t>
  </si>
  <si>
    <t>Art 77 c 2 L a Ccnl 16-18 - Performance organizzativa</t>
  </si>
  <si>
    <t>Art 77 c 2 L b Ccnl 16-18 - Performance individuale</t>
  </si>
  <si>
    <t>Art 77 c 2 L c Ccnl 16-18 - Indennità condizioni di lavoro</t>
  </si>
  <si>
    <t>Art 77 c 2 L d Ccnl 16-18 - Part resp.tà anche prof.li</t>
  </si>
  <si>
    <t>Art 77 c 2 L e Ccnl 16-18 - Progr econ. anno di rifer.to</t>
  </si>
  <si>
    <t>Art 77 c 2 L f Ccnl 16-18 - Ind posizioni organizzative</t>
  </si>
  <si>
    <t>Art 77 c 2 L h Ccnl 16-18 - Welfare integrativo carico fondo</t>
  </si>
  <si>
    <t>RISPARMI DI GESTIONE (ART. 43 L. 449/1997)</t>
  </si>
  <si>
    <t xml:space="preserve">ART 40 C 3-Q DLGS 165/2001 - DEC. ANNO PER PIANI DI RECUP. </t>
  </si>
  <si>
    <r>
      <rPr>
        <vertAlign val="superscript"/>
        <sz val="8"/>
        <rFont val="Arial"/>
        <family val="2"/>
      </rPr>
      <t xml:space="preserve">(*) </t>
    </r>
    <r>
      <rPr>
        <sz val="8"/>
        <rFont val="Arial"/>
        <family val="2"/>
      </rPr>
      <t>Tutti gli importi vanno indicati in euro e al netto degli oneri sociali (contributi ed IRAP) a carico del datore di lavoro</t>
    </r>
  </si>
  <si>
    <r>
      <rPr>
        <vertAlign val="superscript"/>
        <sz val="8"/>
        <rFont val="Arial"/>
        <family val="2"/>
      </rPr>
      <t xml:space="preserve">(**) </t>
    </r>
    <r>
      <rPr>
        <sz val="8"/>
        <rFont val="Arial"/>
        <family val="2"/>
      </rPr>
      <t>Escluse le poste identificate in voci specifiche separate.</t>
    </r>
  </si>
  <si>
    <t>LEG357</t>
  </si>
  <si>
    <t>Importo del limite 2016 come certificato dall'organo di controllo in sede di validazione del fondo/i dell'anno corrente (euro)</t>
  </si>
  <si>
    <t>LEG361</t>
  </si>
  <si>
    <t>Importo complessivo delle voci del fondo/i dell'anno corrente non interessate dal limite di cui all'art. 23 c. 2 del Dlgs 75/2017 (in euro, es. somme non utilizzate fondo anno prec., incentivi funzioni tecniche ecc.)</t>
  </si>
  <si>
    <t>LEG362</t>
  </si>
  <si>
    <t>Importo del limite di cui all'art. 9, comma 28 del decreto legge n. 78/2010 riferito all'anno corrente (euro)</t>
  </si>
  <si>
    <t>LEG364</t>
  </si>
  <si>
    <t>Importo del limite di cui all'art. 9, comma 28 del decreto legge n. 78/2010 utilizzato ai fini delle assunzioni effettuate nell'anno corrente ai sensi dell'art. 20, comma 3 del Dlgs 75/2017 (stipendio, accessorio e O.R. a carico dell'amministrazione)</t>
  </si>
  <si>
    <t>(eventuale) Importo della decurtazione al fondo/i dell'anno corrente per il recupero delle risorse erogate in eccesso ai sensi dell'art. 40, c. 3-quinquies del Dlgs 165/2001 (euro)</t>
  </si>
  <si>
    <t>Valore unitario su base annua della retribuzione di posizione previsto per la fascia più elevata (euro)</t>
  </si>
  <si>
    <t>Valore unitario su base annua della retribuzione di posizione previsto per la fascia meno elevata (euro)</t>
  </si>
  <si>
    <t>Valore unitario su base annua della retribuzione di posizione previsto per le restanti fasce (valore medio in euro)</t>
  </si>
  <si>
    <t>Numero dei dipendenti che hanno concorso alle procedure per le PEO a valere sul fondo dell'anno di rilevazione</t>
  </si>
  <si>
    <t>Le PEO riferite all'anno di rilevazione sono riferite ad un numero limitato di dipendenti (cioè non superiori al 50% degli aventi diritto) ed operate con carattere di selettività secondo quanto previsto dall’art. 23 c. 2 del DLgs 150/2009 (S/N)?</t>
  </si>
  <si>
    <t>Importo delle risorse destinate alle PEO contrattate e certificate a valere sul fondo dell'anno di rilevazione (euro)</t>
  </si>
  <si>
    <t>PERFORMANCE / RISULTATO</t>
  </si>
  <si>
    <t>PRD396</t>
  </si>
  <si>
    <t>L'ente ha rispettato l'indicazione di cui all'art. 77 c. 3 del Ccnl 12.2.2018 di destinare almeno il 30% di specifiche risorse variabili del fondo dell'anno di rilevazione a performance Individuale (S/N)?</t>
  </si>
  <si>
    <t>PRD368</t>
  </si>
  <si>
    <t>Importo totale della performance individuale erogata a valere sul fondo dell'anno di rilevazione (euro)</t>
  </si>
  <si>
    <t>PRD369</t>
  </si>
  <si>
    <t>Importo totale della performance organizzativa erogata a valere sul fondo dell'anno di rilevazione (euro)</t>
  </si>
  <si>
    <t>PRD370</t>
  </si>
  <si>
    <t>Importo totale della performance (individuale e organizzativa) non erogata a seguito della valutazione non piena con riferimento al fondo dell'anno di rilevazione (euro)</t>
  </si>
  <si>
    <t>Importo totale della retribuzione di risultato riferita ad incarichi di posizioni organizzative, alte professionalità ecc. erogato a valere sull'anno di rilevazione (euro)</t>
  </si>
  <si>
    <t>Importo totale della retribuzione di risultato relativo ad incarichi di posizioni organizzative, alte professionalità ecc. non erogato a seguito della valutazione non piena con riferimento all'anno di rilevazione (euro)</t>
  </si>
  <si>
    <t>Valore medio su base annua della retribuzione per gli incarichi dirigenziali ad interim (risultato in euro)</t>
  </si>
  <si>
    <t>INDENNITA' ART.42, COMMA 5-TER, D.LGS. 151/2001</t>
  </si>
  <si>
    <t>I424</t>
  </si>
</sst>
</file>

<file path=xl/styles.xml><?xml version="1.0" encoding="utf-8"?>
<styleSheet xmlns="http://schemas.openxmlformats.org/spreadsheetml/2006/main">
  <numFmts count="5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L.&quot;\ #,##0;[Red]\-&quot;L.&quot;\ #,##0"/>
    <numFmt numFmtId="173" formatCode="General_)"/>
    <numFmt numFmtId="174" formatCode="00000"/>
    <numFmt numFmtId="175" formatCode="#,##0.000"/>
    <numFmt numFmtId="176" formatCode="#,##0.0"/>
    <numFmt numFmtId="177" formatCode="&quot;Sì&quot;;&quot;Sì&quot;;&quot;No&quot;"/>
    <numFmt numFmtId="178" formatCode="&quot;Vero&quot;;&quot;Vero&quot;;&quot;Falso&quot;"/>
    <numFmt numFmtId="179" formatCode="&quot;Attivo&quot;;&quot;Attivo&quot;;&quot;Disattivo&quot;"/>
    <numFmt numFmtId="180" formatCode="[$€-2]\ #.##000_);[Red]\([$€-2]\ #.##000\)"/>
    <numFmt numFmtId="181" formatCode="0.0%"/>
    <numFmt numFmtId="182" formatCode="#,##0.0;[Red]\-#,##0.0"/>
    <numFmt numFmtId="183" formatCode="0.000000000"/>
    <numFmt numFmtId="184" formatCode="0.00000000"/>
    <numFmt numFmtId="185" formatCode="0.0000000"/>
    <numFmt numFmtId="186" formatCode="0.000000"/>
    <numFmt numFmtId="187" formatCode="0.00000"/>
    <numFmt numFmtId="188" formatCode="0.0000"/>
    <numFmt numFmtId="189" formatCode="0.000"/>
    <numFmt numFmtId="190" formatCode="0.0000000000"/>
    <numFmt numFmtId="191" formatCode="&quot;L.&quot;\ #,##0;\-&quot;L.&quot;\ #,##0"/>
    <numFmt numFmtId="192" formatCode="&quot;L.&quot;\ #,##0.00;\-&quot;L.&quot;\ #,##0.00"/>
    <numFmt numFmtId="193" formatCode="&quot;L.&quot;\ #,##0.00;[Red]\-&quot;L.&quot;\ #,##0.00"/>
    <numFmt numFmtId="194" formatCode="_-&quot;L.&quot;\ * #,##0_-;\-&quot;L.&quot;\ * #,##0_-;_-&quot;L.&quot;\ * &quot;-&quot;_-;_-@_-"/>
    <numFmt numFmtId="195" formatCode="_-&quot;L.&quot;\ * #,##0.00_-;\-&quot;L.&quot;\ * #,##0.00_-;_-&quot;L.&quot;\ * &quot;-&quot;??_-;_-@_-"/>
    <numFmt numFmtId="196" formatCode="d\ mmmm\ yyyy"/>
    <numFmt numFmtId="197" formatCode="[$€]\ #,##0;[Red]\-[$€]\ #,##0"/>
    <numFmt numFmtId="198" formatCode=";;;"/>
    <numFmt numFmtId="199" formatCode="0.0"/>
    <numFmt numFmtId="200" formatCode="#,###"/>
    <numFmt numFmtId="201" formatCode="#,###;[Red]\-#,###"/>
    <numFmt numFmtId="202" formatCode="[$-410]dddd\ d\ mmmm\ yyyy"/>
    <numFmt numFmtId="203" formatCode="h\.mm\.ss"/>
    <numFmt numFmtId="204" formatCode="_-* #,##0.0_-;\-* #,##0.0_-;_-* &quot;-&quot;??_-;_-@_-"/>
    <numFmt numFmtId="205" formatCode="_-* #,##0_-;\-* #,##0_-;_-* &quot;-&quot;??_-;_-@_-"/>
    <numFmt numFmtId="206" formatCode="#,##0;\-#,##0;&quot; &quot;"/>
    <numFmt numFmtId="207" formatCode="#,##0.00;\-#,##0.00;&quot; &quot;"/>
    <numFmt numFmtId="208" formatCode="#,###.00;\-#,###.00;;"/>
    <numFmt numFmtId="209" formatCode="#,##0.000;[Red]\-#,##0.000"/>
    <numFmt numFmtId="210" formatCode="&quot;Attivo&quot;;&quot;Attivo&quot;;&quot;Inattivo&quot;"/>
  </numFmts>
  <fonts count="167">
    <font>
      <sz val="8"/>
      <name val="Helv"/>
      <family val="0"/>
    </font>
    <font>
      <b/>
      <sz val="10"/>
      <name val="MS Sans Serif"/>
      <family val="0"/>
    </font>
    <font>
      <i/>
      <sz val="10"/>
      <name val="MS Sans Serif"/>
      <family val="0"/>
    </font>
    <font>
      <b/>
      <i/>
      <sz val="10"/>
      <name val="MS Sans Serif"/>
      <family val="0"/>
    </font>
    <font>
      <sz val="10"/>
      <name val="MS Sans Serif"/>
      <family val="2"/>
    </font>
    <font>
      <b/>
      <sz val="12"/>
      <name val="Arial"/>
      <family val="2"/>
    </font>
    <font>
      <sz val="8"/>
      <name val="Arial"/>
      <family val="2"/>
    </font>
    <font>
      <sz val="9"/>
      <name val="Arial"/>
      <family val="2"/>
    </font>
    <font>
      <b/>
      <sz val="10"/>
      <name val="Arial"/>
      <family val="2"/>
    </font>
    <font>
      <b/>
      <sz val="8"/>
      <name val="Arial"/>
      <family val="2"/>
    </font>
    <font>
      <b/>
      <sz val="18"/>
      <name val="Times New Roman"/>
      <family val="1"/>
    </font>
    <font>
      <u val="single"/>
      <sz val="6.4"/>
      <color indexed="12"/>
      <name val="Helv"/>
      <family val="0"/>
    </font>
    <font>
      <u val="single"/>
      <sz val="6.4"/>
      <color indexed="36"/>
      <name val="Helv"/>
      <family val="0"/>
    </font>
    <font>
      <sz val="11"/>
      <name val="Arial"/>
      <family val="2"/>
    </font>
    <font>
      <b/>
      <i/>
      <sz val="8"/>
      <name val="Arial"/>
      <family val="2"/>
    </font>
    <font>
      <i/>
      <sz val="8"/>
      <name val="Arial"/>
      <family val="2"/>
    </font>
    <font>
      <sz val="8"/>
      <name val="MS Serif"/>
      <family val="1"/>
    </font>
    <font>
      <sz val="10"/>
      <name val="Arial"/>
      <family val="2"/>
    </font>
    <font>
      <b/>
      <sz val="6"/>
      <name val="Arial"/>
      <family val="2"/>
    </font>
    <font>
      <sz val="7"/>
      <name val="MS Serif"/>
      <family val="1"/>
    </font>
    <font>
      <sz val="6"/>
      <name val="MS Serif"/>
      <family val="1"/>
    </font>
    <font>
      <b/>
      <sz val="7"/>
      <name val="Arial"/>
      <family val="2"/>
    </font>
    <font>
      <b/>
      <sz val="11"/>
      <name val="Arial"/>
      <family val="2"/>
    </font>
    <font>
      <sz val="7"/>
      <name val="Arial"/>
      <family val="2"/>
    </font>
    <font>
      <sz val="12"/>
      <name val="Arial"/>
      <family val="2"/>
    </font>
    <font>
      <b/>
      <sz val="9"/>
      <name val="Arial"/>
      <family val="2"/>
    </font>
    <font>
      <b/>
      <sz val="8"/>
      <name val="Helv"/>
      <family val="0"/>
    </font>
    <font>
      <b/>
      <sz val="6"/>
      <name val="MS Serif"/>
      <family val="1"/>
    </font>
    <font>
      <i/>
      <sz val="9"/>
      <name val="Arial"/>
      <family val="2"/>
    </font>
    <font>
      <sz val="8"/>
      <color indexed="10"/>
      <name val="Arial"/>
      <family val="2"/>
    </font>
    <font>
      <b/>
      <sz val="8"/>
      <color indexed="10"/>
      <name val="Arial"/>
      <family val="2"/>
    </font>
    <font>
      <i/>
      <sz val="8"/>
      <name val="Helv"/>
      <family val="0"/>
    </font>
    <font>
      <b/>
      <i/>
      <sz val="12"/>
      <name val="Arial"/>
      <family val="2"/>
    </font>
    <font>
      <b/>
      <i/>
      <sz val="12"/>
      <name val="Helv"/>
      <family val="0"/>
    </font>
    <font>
      <b/>
      <i/>
      <sz val="11"/>
      <name val="Arial"/>
      <family val="2"/>
    </font>
    <font>
      <sz val="10"/>
      <name val="Courier"/>
      <family val="3"/>
    </font>
    <font>
      <sz val="15"/>
      <name val="Times New Roman"/>
      <family val="1"/>
    </font>
    <font>
      <sz val="15"/>
      <name val="Arial"/>
      <family val="2"/>
    </font>
    <font>
      <b/>
      <sz val="15"/>
      <name val="Arial"/>
      <family val="2"/>
    </font>
    <font>
      <sz val="14"/>
      <name val="Arial"/>
      <family val="2"/>
    </font>
    <font>
      <sz val="8"/>
      <name val="Times New Roman"/>
      <family val="1"/>
    </font>
    <font>
      <sz val="7.5"/>
      <name val="Arial"/>
      <family val="2"/>
    </font>
    <font>
      <sz val="8"/>
      <name val="Courier"/>
      <family val="3"/>
    </font>
    <font>
      <sz val="10"/>
      <color indexed="10"/>
      <name val="Arial"/>
      <family val="2"/>
    </font>
    <font>
      <b/>
      <sz val="10"/>
      <name val="Times New Roman"/>
      <family val="1"/>
    </font>
    <font>
      <sz val="12"/>
      <name val="Courier"/>
      <family val="3"/>
    </font>
    <font>
      <b/>
      <sz val="8"/>
      <color indexed="9"/>
      <name val="Helv"/>
      <family val="0"/>
    </font>
    <font>
      <sz val="8"/>
      <color indexed="9"/>
      <name val="Helv"/>
      <family val="0"/>
    </font>
    <font>
      <b/>
      <sz val="16"/>
      <name val="Arial"/>
      <family val="2"/>
    </font>
    <font>
      <sz val="8.5"/>
      <name val="MS Serif"/>
      <family val="1"/>
    </font>
    <font>
      <b/>
      <sz val="12"/>
      <color indexed="10"/>
      <name val="Arial"/>
      <family val="2"/>
    </font>
    <font>
      <sz val="12"/>
      <name val="Times New Roman"/>
      <family val="1"/>
    </font>
    <font>
      <b/>
      <sz val="9"/>
      <color indexed="10"/>
      <name val="Courier"/>
      <family val="3"/>
    </font>
    <font>
      <b/>
      <i/>
      <sz val="9"/>
      <color indexed="48"/>
      <name val="Courier"/>
      <family val="3"/>
    </font>
    <font>
      <u val="single"/>
      <sz val="6.4"/>
      <color indexed="12"/>
      <name val="Arial"/>
      <family val="2"/>
    </font>
    <font>
      <sz val="10"/>
      <color indexed="10"/>
      <name val="Courier"/>
      <family val="3"/>
    </font>
    <font>
      <sz val="11"/>
      <name val="Courier"/>
      <family val="3"/>
    </font>
    <font>
      <b/>
      <sz val="10"/>
      <color indexed="10"/>
      <name val="Arial"/>
      <family val="2"/>
    </font>
    <font>
      <b/>
      <sz val="14"/>
      <color indexed="10"/>
      <name val="Arial"/>
      <family val="2"/>
    </font>
    <font>
      <b/>
      <sz val="8"/>
      <color indexed="10"/>
      <name val="Courier"/>
      <family val="3"/>
    </font>
    <font>
      <b/>
      <i/>
      <sz val="13"/>
      <color indexed="8"/>
      <name val="Arial"/>
      <family val="2"/>
    </font>
    <font>
      <b/>
      <sz val="13"/>
      <color indexed="10"/>
      <name val="Arial"/>
      <family val="2"/>
    </font>
    <font>
      <b/>
      <i/>
      <sz val="9"/>
      <name val="Arial"/>
      <family val="2"/>
    </font>
    <font>
      <sz val="8"/>
      <name val="Trebuchet MS"/>
      <family val="2"/>
    </font>
    <font>
      <sz val="8"/>
      <color indexed="8"/>
      <name val="Trebuchet MS"/>
      <family val="2"/>
    </font>
    <font>
      <sz val="8"/>
      <color indexed="9"/>
      <name val="Trebuchet MS"/>
      <family val="2"/>
    </font>
    <font>
      <b/>
      <sz val="8"/>
      <color indexed="52"/>
      <name val="Trebuchet MS"/>
      <family val="2"/>
    </font>
    <font>
      <sz val="8"/>
      <color indexed="52"/>
      <name val="Trebuchet MS"/>
      <family val="2"/>
    </font>
    <font>
      <b/>
      <sz val="8"/>
      <color indexed="9"/>
      <name val="Trebuchet MS"/>
      <family val="2"/>
    </font>
    <font>
      <sz val="8"/>
      <color indexed="62"/>
      <name val="Trebuchet MS"/>
      <family val="2"/>
    </font>
    <font>
      <sz val="8"/>
      <color indexed="60"/>
      <name val="Trebuchet MS"/>
      <family val="2"/>
    </font>
    <font>
      <b/>
      <sz val="8"/>
      <color indexed="63"/>
      <name val="Trebuchet MS"/>
      <family val="2"/>
    </font>
    <font>
      <sz val="8"/>
      <color indexed="10"/>
      <name val="Trebuchet MS"/>
      <family val="2"/>
    </font>
    <font>
      <i/>
      <sz val="8"/>
      <color indexed="23"/>
      <name val="Trebuchet MS"/>
      <family val="2"/>
    </font>
    <font>
      <b/>
      <sz val="18"/>
      <color indexed="56"/>
      <name val="Cambria"/>
      <family val="2"/>
    </font>
    <font>
      <b/>
      <sz val="15"/>
      <color indexed="56"/>
      <name val="Trebuchet MS"/>
      <family val="2"/>
    </font>
    <font>
      <b/>
      <sz val="13"/>
      <color indexed="56"/>
      <name val="Trebuchet MS"/>
      <family val="2"/>
    </font>
    <font>
      <b/>
      <sz val="11"/>
      <color indexed="56"/>
      <name val="Trebuchet MS"/>
      <family val="2"/>
    </font>
    <font>
      <b/>
      <sz val="8"/>
      <color indexed="8"/>
      <name val="Trebuchet MS"/>
      <family val="2"/>
    </font>
    <font>
      <sz val="8"/>
      <color indexed="20"/>
      <name val="Trebuchet MS"/>
      <family val="2"/>
    </font>
    <font>
      <sz val="8"/>
      <color indexed="17"/>
      <name val="Trebuchet MS"/>
      <family val="2"/>
    </font>
    <font>
      <b/>
      <sz val="18"/>
      <color indexed="8"/>
      <name val="Arial"/>
      <family val="2"/>
    </font>
    <font>
      <sz val="11"/>
      <color indexed="10"/>
      <name val="Arial"/>
      <family val="2"/>
    </font>
    <font>
      <b/>
      <sz val="10"/>
      <color indexed="8"/>
      <name val="Arial"/>
      <family val="2"/>
    </font>
    <font>
      <sz val="7"/>
      <name val="Small Fonts"/>
      <family val="2"/>
    </font>
    <font>
      <sz val="7"/>
      <color indexed="30"/>
      <name val="Arial"/>
      <family val="2"/>
    </font>
    <font>
      <sz val="8"/>
      <color indexed="30"/>
      <name val="Arial"/>
      <family val="2"/>
    </font>
    <font>
      <b/>
      <sz val="11"/>
      <color indexed="8"/>
      <name val="Arial"/>
      <family val="2"/>
    </font>
    <font>
      <b/>
      <sz val="6"/>
      <color indexed="8"/>
      <name val="Arial"/>
      <family val="2"/>
    </font>
    <font>
      <i/>
      <sz val="10"/>
      <name val="Arial"/>
      <family val="2"/>
    </font>
    <font>
      <i/>
      <sz val="8.2"/>
      <name val="Arial"/>
      <family val="2"/>
    </font>
    <font>
      <b/>
      <sz val="9"/>
      <color indexed="48"/>
      <name val="Courier"/>
      <family val="3"/>
    </font>
    <font>
      <u val="single"/>
      <sz val="8"/>
      <name val="Helv"/>
      <family val="0"/>
    </font>
    <font>
      <u val="single"/>
      <sz val="10"/>
      <color indexed="12"/>
      <name val="Arial"/>
      <family val="2"/>
    </font>
    <font>
      <sz val="7"/>
      <name val="Helv"/>
      <family val="0"/>
    </font>
    <font>
      <b/>
      <sz val="7"/>
      <name val="Helv"/>
      <family val="0"/>
    </font>
    <font>
      <i/>
      <sz val="10"/>
      <name val="MS Serif"/>
      <family val="1"/>
    </font>
    <font>
      <b/>
      <sz val="14"/>
      <name val="Arial"/>
      <family val="2"/>
    </font>
    <font>
      <b/>
      <sz val="8"/>
      <color indexed="8"/>
      <name val="Arial"/>
      <family val="2"/>
    </font>
    <font>
      <u val="single"/>
      <sz val="12"/>
      <name val="Arial"/>
      <family val="2"/>
    </font>
    <font>
      <u val="single"/>
      <sz val="8"/>
      <name val="Arial"/>
      <family val="2"/>
    </font>
    <font>
      <u val="single"/>
      <sz val="13"/>
      <name val="Arial"/>
      <family val="2"/>
    </font>
    <font>
      <u val="single"/>
      <sz val="11"/>
      <name val="Arial"/>
      <family val="2"/>
    </font>
    <font>
      <sz val="8"/>
      <name val="Comic Sans MS"/>
      <family val="4"/>
    </font>
    <font>
      <sz val="11"/>
      <name val="Calibri"/>
      <family val="2"/>
    </font>
    <font>
      <vertAlign val="superscript"/>
      <sz val="8"/>
      <name val="Arial"/>
      <family val="2"/>
    </font>
    <font>
      <vertAlign val="superscript"/>
      <sz val="10"/>
      <name val="Arial"/>
      <family val="2"/>
    </font>
    <font>
      <sz val="2.25"/>
      <color indexed="8"/>
      <name val="Arial"/>
      <family val="0"/>
    </font>
    <font>
      <sz val="2.75"/>
      <color indexed="8"/>
      <name val="Arial"/>
      <family val="0"/>
    </font>
    <font>
      <b/>
      <sz val="7"/>
      <color indexed="8"/>
      <name val="Arial"/>
      <family val="0"/>
    </font>
    <font>
      <b/>
      <sz val="18"/>
      <name val="Arial"/>
      <family val="2"/>
    </font>
    <font>
      <sz val="12"/>
      <color indexed="8"/>
      <name val="Times New Roman"/>
      <family val="2"/>
    </font>
    <font>
      <sz val="11"/>
      <color indexed="8"/>
      <name val="Calibri"/>
      <family val="2"/>
    </font>
    <font>
      <sz val="12"/>
      <color indexed="8"/>
      <name val="Calibri"/>
      <family val="2"/>
    </font>
    <font>
      <b/>
      <sz val="8"/>
      <color indexed="10"/>
      <name val="Helv"/>
      <family val="0"/>
    </font>
    <font>
      <b/>
      <sz val="12"/>
      <color indexed="9"/>
      <name val="Arial"/>
      <family val="2"/>
    </font>
    <font>
      <sz val="8"/>
      <color indexed="9"/>
      <name val="Arial"/>
      <family val="2"/>
    </font>
    <font>
      <sz val="18"/>
      <color indexed="8"/>
      <name val="Arial"/>
      <family val="2"/>
    </font>
    <font>
      <sz val="8"/>
      <color indexed="8"/>
      <name val="Arial"/>
      <family val="2"/>
    </font>
    <font>
      <sz val="16"/>
      <color indexed="8"/>
      <name val="Arial"/>
      <family val="2"/>
    </font>
    <font>
      <sz val="11"/>
      <color indexed="8"/>
      <name val="Arial"/>
      <family val="2"/>
    </font>
    <font>
      <sz val="12"/>
      <color indexed="8"/>
      <name val="Arial"/>
      <family val="2"/>
    </font>
    <font>
      <i/>
      <sz val="18"/>
      <color indexed="8"/>
      <name val="Arial"/>
      <family val="2"/>
    </font>
    <font>
      <i/>
      <sz val="10"/>
      <color indexed="8"/>
      <name val="Arial"/>
      <family val="2"/>
    </font>
    <font>
      <sz val="10"/>
      <color indexed="8"/>
      <name val="Arial"/>
      <family val="2"/>
    </font>
    <font>
      <sz val="9"/>
      <color indexed="8"/>
      <name val="Arial"/>
      <family val="2"/>
    </font>
    <font>
      <b/>
      <sz val="12"/>
      <color indexed="8"/>
      <name val="Arial"/>
      <family val="2"/>
    </font>
    <font>
      <b/>
      <sz val="9"/>
      <color indexed="8"/>
      <name val="Arial"/>
      <family val="2"/>
    </font>
    <font>
      <sz val="10"/>
      <color indexed="8"/>
      <name val="Courier"/>
      <family val="3"/>
    </font>
    <font>
      <sz val="10"/>
      <color indexed="9"/>
      <name val="Courier"/>
      <family val="3"/>
    </font>
    <font>
      <sz val="10"/>
      <color indexed="9"/>
      <name val="Arial"/>
      <family val="2"/>
    </font>
    <font>
      <b/>
      <sz val="10"/>
      <color indexed="8"/>
      <name val="Courier"/>
      <family val="3"/>
    </font>
    <font>
      <b/>
      <sz val="10"/>
      <color indexed="10"/>
      <name val="Helv"/>
      <family val="0"/>
    </font>
    <font>
      <b/>
      <i/>
      <sz val="12"/>
      <color indexed="8"/>
      <name val="Arial"/>
      <family val="2"/>
    </font>
    <font>
      <b/>
      <sz val="18"/>
      <color indexed="10"/>
      <name val="Times New Roman"/>
      <family val="1"/>
    </font>
    <font>
      <sz val="8"/>
      <color indexed="10"/>
      <name val="Helv"/>
      <family val="0"/>
    </font>
    <font>
      <sz val="8"/>
      <name val="Tahoma"/>
      <family val="2"/>
    </font>
    <font>
      <b/>
      <sz val="16"/>
      <color indexed="8"/>
      <name val="Arial"/>
      <family val="0"/>
    </font>
    <font>
      <sz val="12"/>
      <color theme="1"/>
      <name val="Times New Roman"/>
      <family val="2"/>
    </font>
    <font>
      <sz val="11"/>
      <color theme="1"/>
      <name val="Calibri"/>
      <family val="2"/>
    </font>
    <font>
      <sz val="12"/>
      <color theme="1"/>
      <name val="Calibri"/>
      <family val="2"/>
    </font>
    <font>
      <b/>
      <sz val="8"/>
      <color rgb="FFFF0000"/>
      <name val="Helv"/>
      <family val="0"/>
    </font>
    <font>
      <b/>
      <sz val="12"/>
      <color theme="0"/>
      <name val="Arial"/>
      <family val="2"/>
    </font>
    <font>
      <sz val="8"/>
      <color rgb="FFFF0000"/>
      <name val="Arial"/>
      <family val="2"/>
    </font>
    <font>
      <b/>
      <sz val="10"/>
      <color rgb="FFFF0000"/>
      <name val="Arial"/>
      <family val="2"/>
    </font>
    <font>
      <sz val="8"/>
      <color theme="0"/>
      <name val="Arial"/>
      <family val="2"/>
    </font>
    <font>
      <sz val="18"/>
      <color theme="1"/>
      <name val="Arial"/>
      <family val="2"/>
    </font>
    <font>
      <sz val="8"/>
      <color theme="1"/>
      <name val="Arial"/>
      <family val="2"/>
    </font>
    <font>
      <sz val="16"/>
      <color theme="1"/>
      <name val="Arial"/>
      <family val="2"/>
    </font>
    <font>
      <sz val="11"/>
      <color theme="1"/>
      <name val="Arial"/>
      <family val="2"/>
    </font>
    <font>
      <sz val="12"/>
      <color theme="1"/>
      <name val="Arial"/>
      <family val="2"/>
    </font>
    <font>
      <i/>
      <sz val="18"/>
      <color theme="1"/>
      <name val="Arial"/>
      <family val="2"/>
    </font>
    <font>
      <i/>
      <sz val="10"/>
      <color theme="1"/>
      <name val="Arial"/>
      <family val="2"/>
    </font>
    <font>
      <sz val="10"/>
      <color theme="1"/>
      <name val="Arial"/>
      <family val="2"/>
    </font>
    <font>
      <sz val="9"/>
      <color theme="1"/>
      <name val="Arial"/>
      <family val="2"/>
    </font>
    <font>
      <b/>
      <sz val="12"/>
      <color rgb="FFFF0000"/>
      <name val="Arial"/>
      <family val="2"/>
    </font>
    <font>
      <b/>
      <sz val="12"/>
      <color theme="1"/>
      <name val="Arial"/>
      <family val="2"/>
    </font>
    <font>
      <b/>
      <sz val="9"/>
      <color theme="1"/>
      <name val="Arial"/>
      <family val="2"/>
    </font>
    <font>
      <sz val="10"/>
      <color theme="1"/>
      <name val="Courier"/>
      <family val="3"/>
    </font>
    <font>
      <sz val="10"/>
      <color theme="0"/>
      <name val="Courier"/>
      <family val="3"/>
    </font>
    <font>
      <sz val="8"/>
      <color theme="0"/>
      <name val="Helv"/>
      <family val="0"/>
    </font>
    <font>
      <sz val="10"/>
      <color theme="0"/>
      <name val="Arial"/>
      <family val="2"/>
    </font>
    <font>
      <b/>
      <sz val="10"/>
      <color theme="1"/>
      <name val="Courier"/>
      <family val="3"/>
    </font>
    <font>
      <b/>
      <sz val="10"/>
      <color rgb="FFFF0000"/>
      <name val="Helv"/>
      <family val="0"/>
    </font>
    <font>
      <b/>
      <i/>
      <sz val="12"/>
      <color theme="1"/>
      <name val="Arial"/>
      <family val="2"/>
    </font>
    <font>
      <b/>
      <sz val="18"/>
      <color rgb="FFFF0000"/>
      <name val="Times New Roman"/>
      <family val="1"/>
    </font>
    <font>
      <sz val="8"/>
      <color rgb="FFFF0000"/>
      <name val="Helv"/>
      <family val="0"/>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1499900072813034"/>
        <bgColor indexed="64"/>
      </patternFill>
    </fill>
    <fill>
      <patternFill patternType="solid">
        <fgColor theme="0" tint="-0.24993999302387238"/>
        <bgColor indexed="64"/>
      </patternFill>
    </fill>
    <fill>
      <patternFill patternType="solid">
        <fgColor theme="9" tint="0.5999900102615356"/>
        <bgColor indexed="64"/>
      </patternFill>
    </fill>
    <fill>
      <patternFill patternType="gray0625">
        <fgColor indexed="26"/>
        <bgColor indexed="26"/>
      </patternFill>
    </fill>
    <fill>
      <patternFill patternType="gray0625"/>
    </fill>
    <fill>
      <patternFill patternType="solid">
        <fgColor theme="0"/>
        <bgColor indexed="64"/>
      </patternFill>
    </fill>
  </fills>
  <borders count="17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color indexed="63"/>
      </right>
      <top style="medium"/>
      <bottom>
        <color indexed="63"/>
      </bottom>
    </border>
    <border>
      <left style="thin"/>
      <right>
        <color indexed="63"/>
      </right>
      <top style="medium"/>
      <bottom>
        <color indexed="63"/>
      </bottom>
    </border>
    <border>
      <left>
        <color indexed="63"/>
      </left>
      <right>
        <color indexed="63"/>
      </right>
      <top style="medium"/>
      <bottom style="thin"/>
    </border>
    <border>
      <left style="medium"/>
      <right style="thin"/>
      <top>
        <color indexed="63"/>
      </top>
      <bottom style="double"/>
    </border>
    <border>
      <left style="thin"/>
      <right style="double"/>
      <top>
        <color indexed="63"/>
      </top>
      <bottom style="medium"/>
    </border>
    <border>
      <left>
        <color indexed="63"/>
      </left>
      <right>
        <color indexed="63"/>
      </right>
      <top style="medium"/>
      <bottom style="double"/>
    </border>
    <border>
      <left style="medium"/>
      <right>
        <color indexed="63"/>
      </right>
      <top>
        <color indexed="63"/>
      </top>
      <bottom style="medium"/>
    </border>
    <border>
      <left style="thin"/>
      <right>
        <color indexed="63"/>
      </right>
      <top>
        <color indexed="63"/>
      </top>
      <bottom style="double"/>
    </border>
    <border>
      <left style="double"/>
      <right>
        <color indexed="63"/>
      </right>
      <top style="double"/>
      <bottom>
        <color indexed="63"/>
      </bottom>
    </border>
    <border>
      <left style="double"/>
      <right>
        <color indexed="63"/>
      </right>
      <top style="double"/>
      <bottom style="thin"/>
    </border>
    <border>
      <left>
        <color indexed="63"/>
      </left>
      <right style="double"/>
      <top style="double"/>
      <bottom style="thin"/>
    </border>
    <border>
      <left style="medium"/>
      <right style="thin"/>
      <top>
        <color indexed="63"/>
      </top>
      <bottom style="thin"/>
    </border>
    <border>
      <left style="medium"/>
      <right style="thin"/>
      <top style="double"/>
      <bottom style="thin"/>
    </border>
    <border>
      <left style="medium"/>
      <right>
        <color indexed="63"/>
      </right>
      <top>
        <color indexed="63"/>
      </top>
      <bottom>
        <color indexed="63"/>
      </bottom>
    </border>
    <border>
      <left style="thin"/>
      <right>
        <color indexed="63"/>
      </right>
      <top>
        <color indexed="63"/>
      </top>
      <bottom>
        <color indexed="63"/>
      </bottom>
    </border>
    <border>
      <left style="medium"/>
      <right>
        <color indexed="63"/>
      </right>
      <top style="double"/>
      <bottom style="medium"/>
    </border>
    <border>
      <left style="double"/>
      <right style="double"/>
      <top style="medium"/>
      <bottom>
        <color indexed="63"/>
      </bottom>
    </border>
    <border>
      <left>
        <color indexed="63"/>
      </left>
      <right style="double"/>
      <top style="medium"/>
      <bottom>
        <color indexed="63"/>
      </bottom>
    </border>
    <border>
      <left style="thin"/>
      <right style="double"/>
      <top>
        <color indexed="63"/>
      </top>
      <bottom style="double"/>
    </border>
    <border>
      <left style="double"/>
      <right>
        <color indexed="63"/>
      </right>
      <top>
        <color indexed="63"/>
      </top>
      <bottom>
        <color indexed="63"/>
      </bottom>
    </border>
    <border>
      <left>
        <color indexed="63"/>
      </left>
      <right style="double"/>
      <top>
        <color indexed="63"/>
      </top>
      <bottom>
        <color indexed="63"/>
      </bottom>
    </border>
    <border>
      <left style="thin"/>
      <right>
        <color indexed="63"/>
      </right>
      <top style="double"/>
      <bottom style="medium"/>
    </border>
    <border>
      <left>
        <color indexed="63"/>
      </left>
      <right style="medium"/>
      <top style="medium"/>
      <bottom style="thin"/>
    </border>
    <border>
      <left style="double"/>
      <right>
        <color indexed="63"/>
      </right>
      <top>
        <color indexed="63"/>
      </top>
      <bottom style="double"/>
    </border>
    <border>
      <left>
        <color indexed="63"/>
      </left>
      <right style="double"/>
      <top>
        <color indexed="63"/>
      </top>
      <bottom style="double"/>
    </border>
    <border>
      <left>
        <color indexed="63"/>
      </left>
      <right style="medium"/>
      <top>
        <color indexed="63"/>
      </top>
      <bottom style="double"/>
    </border>
    <border>
      <left style="medium"/>
      <right>
        <color indexed="63"/>
      </right>
      <top>
        <color indexed="63"/>
      </top>
      <bottom style="double"/>
    </border>
    <border>
      <left style="thin"/>
      <right style="thin"/>
      <top style="thin"/>
      <bottom style="thin"/>
    </border>
    <border>
      <left>
        <color indexed="63"/>
      </left>
      <right style="medium"/>
      <top style="medium"/>
      <bottom style="double"/>
    </border>
    <border>
      <left>
        <color indexed="63"/>
      </left>
      <right style="double"/>
      <top style="double"/>
      <bottom>
        <color indexed="63"/>
      </bottom>
    </border>
    <border>
      <left style="medium"/>
      <right>
        <color indexed="63"/>
      </right>
      <top style="medium"/>
      <bottom style="double"/>
    </border>
    <border>
      <left style="medium"/>
      <right>
        <color indexed="63"/>
      </right>
      <top>
        <color indexed="63"/>
      </top>
      <bottom style="thin"/>
    </border>
    <border>
      <left style="medium"/>
      <right>
        <color indexed="63"/>
      </right>
      <top style="thin"/>
      <bottom style="thin"/>
    </border>
    <border>
      <left>
        <color indexed="63"/>
      </left>
      <right style="medium"/>
      <top>
        <color indexed="63"/>
      </top>
      <bottom>
        <color indexed="63"/>
      </bottom>
    </border>
    <border>
      <left style="double"/>
      <right style="double"/>
      <top style="double"/>
      <bottom>
        <color indexed="63"/>
      </bottom>
    </border>
    <border>
      <left>
        <color indexed="63"/>
      </left>
      <right style="medium"/>
      <top style="double"/>
      <bottom>
        <color indexed="63"/>
      </bottom>
    </border>
    <border>
      <left style="double"/>
      <right style="medium"/>
      <top style="double"/>
      <bottom>
        <color indexed="63"/>
      </bottom>
    </border>
    <border>
      <left style="medium"/>
      <right>
        <color indexed="63"/>
      </right>
      <top style="medium"/>
      <bottom style="thin"/>
    </border>
    <border>
      <left style="medium"/>
      <right>
        <color indexed="63"/>
      </right>
      <top style="double"/>
      <bottom>
        <color indexed="63"/>
      </bottom>
    </border>
    <border>
      <left style="thin"/>
      <right style="double"/>
      <top>
        <color indexed="63"/>
      </top>
      <bottom style="thin"/>
    </border>
    <border>
      <left style="medium"/>
      <right style="thin"/>
      <top style="thin"/>
      <bottom style="thin"/>
    </border>
    <border>
      <left>
        <color indexed="63"/>
      </left>
      <right style="double"/>
      <top style="double"/>
      <bottom style="medium"/>
    </border>
    <border>
      <left style="thin"/>
      <right style="thin"/>
      <top>
        <color indexed="63"/>
      </top>
      <bottom style="thin"/>
    </border>
    <border>
      <left style="thin"/>
      <right style="thin"/>
      <top style="thin"/>
      <bottom style="medium"/>
    </border>
    <border>
      <left style="medium"/>
      <right style="thin"/>
      <top style="double"/>
      <bottom style="medium"/>
    </border>
    <border>
      <left>
        <color indexed="63"/>
      </left>
      <right>
        <color indexed="63"/>
      </right>
      <top style="double"/>
      <bottom>
        <color indexed="63"/>
      </bottom>
    </border>
    <border>
      <left style="thin"/>
      <right style="thin"/>
      <top style="double"/>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style="thin"/>
      <bottom style="thin"/>
    </border>
    <border>
      <left style="medium"/>
      <right style="thin"/>
      <top style="thin"/>
      <bottom style="medium"/>
    </border>
    <border>
      <left style="medium"/>
      <right style="medium"/>
      <top style="medium"/>
      <bottom style="thin"/>
    </border>
    <border>
      <left style="medium"/>
      <right style="medium"/>
      <top style="thin"/>
      <bottom style="thin"/>
    </border>
    <border>
      <left style="thin"/>
      <right>
        <color indexed="63"/>
      </right>
      <top style="thin"/>
      <bottom style="thin"/>
    </border>
    <border>
      <left style="thin"/>
      <right>
        <color indexed="63"/>
      </right>
      <top style="thin"/>
      <bottom style="medium"/>
    </border>
    <border>
      <left style="double"/>
      <right>
        <color indexed="63"/>
      </right>
      <top>
        <color indexed="63"/>
      </top>
      <bottom style="thin"/>
    </border>
    <border>
      <left style="double"/>
      <right style="medium"/>
      <top>
        <color indexed="63"/>
      </top>
      <bottom style="thin"/>
    </border>
    <border>
      <left style="double"/>
      <right style="thin"/>
      <top>
        <color indexed="63"/>
      </top>
      <bottom style="thin"/>
    </border>
    <border>
      <left style="double"/>
      <right style="double"/>
      <top>
        <color indexed="63"/>
      </top>
      <bottom style="thin"/>
    </border>
    <border>
      <left>
        <color indexed="63"/>
      </left>
      <right style="medium"/>
      <top>
        <color indexed="63"/>
      </top>
      <bottom style="thin"/>
    </border>
    <border>
      <left>
        <color indexed="63"/>
      </left>
      <right style="medium"/>
      <top style="thin"/>
      <bottom style="thin"/>
    </border>
    <border>
      <left style="thin"/>
      <right style="medium"/>
      <top style="thin"/>
      <bottom style="thin"/>
    </border>
    <border>
      <left>
        <color indexed="63"/>
      </left>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medium"/>
    </border>
    <border>
      <left>
        <color indexed="63"/>
      </left>
      <right style="medium"/>
      <top style="medium"/>
      <bottom>
        <color indexed="63"/>
      </bottom>
    </border>
    <border>
      <left style="thin"/>
      <right style="double"/>
      <top style="thin"/>
      <bottom style="thin"/>
    </border>
    <border>
      <left>
        <color indexed="63"/>
      </left>
      <right>
        <color indexed="63"/>
      </right>
      <top>
        <color indexed="63"/>
      </top>
      <bottom style="thin"/>
    </border>
    <border>
      <left style="thin"/>
      <right style="double"/>
      <top style="double"/>
      <bottom style="thin"/>
    </border>
    <border>
      <left>
        <color indexed="63"/>
      </left>
      <right style="thin"/>
      <top>
        <color indexed="63"/>
      </top>
      <bottom style="thin"/>
    </border>
    <border>
      <left style="double"/>
      <right style="thin"/>
      <top style="thin"/>
      <bottom style="thin"/>
    </border>
    <border>
      <left>
        <color indexed="63"/>
      </left>
      <right style="double"/>
      <top>
        <color indexed="63"/>
      </top>
      <bottom style="thin"/>
    </border>
    <border>
      <left style="double"/>
      <right style="thin"/>
      <top style="thin"/>
      <bottom style="double"/>
    </border>
    <border>
      <left style="thin"/>
      <right style="thin"/>
      <top style="thin"/>
      <bottom style="double"/>
    </border>
    <border>
      <left>
        <color indexed="63"/>
      </left>
      <right>
        <color indexed="63"/>
      </right>
      <top style="medium"/>
      <bottom>
        <color indexed="63"/>
      </bottom>
    </border>
    <border>
      <left>
        <color indexed="63"/>
      </left>
      <right>
        <color indexed="63"/>
      </right>
      <top>
        <color indexed="63"/>
      </top>
      <bottom style="double"/>
    </border>
    <border>
      <left style="double"/>
      <right style="thin"/>
      <top style="double"/>
      <bottom style="thin"/>
    </border>
    <border>
      <left style="double"/>
      <right style="thin"/>
      <top style="thin"/>
      <bottom>
        <color indexed="63"/>
      </bottom>
    </border>
    <border>
      <left style="medium"/>
      <right style="thin"/>
      <top>
        <color indexed="63"/>
      </top>
      <bottom>
        <color indexed="63"/>
      </bottom>
    </border>
    <border>
      <left style="thin"/>
      <right style="medium"/>
      <top style="double"/>
      <bottom style="thin"/>
    </border>
    <border>
      <left style="thin"/>
      <right style="medium"/>
      <top>
        <color indexed="63"/>
      </top>
      <bottom style="thin"/>
    </border>
    <border>
      <left style="double"/>
      <right style="thin"/>
      <top>
        <color indexed="63"/>
      </top>
      <bottom style="double"/>
    </border>
    <border>
      <left style="double"/>
      <right style="medium"/>
      <top>
        <color indexed="63"/>
      </top>
      <bottom style="double"/>
    </border>
    <border>
      <left style="thin"/>
      <right style="thin"/>
      <top style="medium"/>
      <bottom style="double"/>
    </border>
    <border>
      <left style="thin"/>
      <right style="medium"/>
      <top style="medium"/>
      <bottom style="double"/>
    </border>
    <border>
      <left style="medium"/>
      <right style="thin"/>
      <top style="medium"/>
      <bottom>
        <color indexed="63"/>
      </bottom>
    </border>
    <border>
      <left style="thin"/>
      <right style="double"/>
      <top>
        <color indexed="63"/>
      </top>
      <bottom>
        <color indexed="63"/>
      </bottom>
    </border>
    <border>
      <left style="double"/>
      <right style="medium"/>
      <top>
        <color indexed="63"/>
      </top>
      <bottom>
        <color indexed="63"/>
      </bottom>
    </border>
    <border>
      <left style="thin"/>
      <right>
        <color indexed="63"/>
      </right>
      <top style="double"/>
      <bottom style="thin"/>
    </border>
    <border>
      <left>
        <color indexed="63"/>
      </left>
      <right style="thin"/>
      <top style="double"/>
      <bottom style="thin"/>
    </border>
    <border>
      <left>
        <color indexed="63"/>
      </left>
      <right style="medium"/>
      <top style="medium"/>
      <bottom style="medium"/>
    </border>
    <border>
      <left style="thin"/>
      <right>
        <color indexed="63"/>
      </right>
      <top style="medium"/>
      <bottom style="double"/>
    </border>
    <border>
      <left style="double"/>
      <right>
        <color indexed="63"/>
      </right>
      <top style="thin"/>
      <bottom style="thin"/>
    </border>
    <border>
      <left style="thin"/>
      <right style="double"/>
      <top style="thin"/>
      <bottom>
        <color indexed="63"/>
      </bottom>
    </border>
    <border>
      <left style="thin"/>
      <right style="medium"/>
      <top style="thin"/>
      <bottom>
        <color indexed="63"/>
      </bottom>
    </border>
    <border>
      <left style="double"/>
      <right style="thin"/>
      <top style="double"/>
      <bottom style="medium"/>
    </border>
    <border>
      <left style="thin"/>
      <right style="double"/>
      <top style="double"/>
      <bottom style="medium"/>
    </border>
    <border>
      <left style="thin"/>
      <right style="medium"/>
      <top style="double"/>
      <bottom style="medium"/>
    </border>
    <border>
      <left style="double"/>
      <right style="medium"/>
      <top>
        <color indexed="63"/>
      </top>
      <bottom style="medium"/>
    </border>
    <border>
      <left style="thin"/>
      <right style="thin"/>
      <top style="double"/>
      <bottom style="medium"/>
    </border>
    <border>
      <left>
        <color indexed="63"/>
      </left>
      <right style="medium"/>
      <top style="double"/>
      <bottom style="thin"/>
    </border>
    <border>
      <left>
        <color indexed="63"/>
      </left>
      <right style="double"/>
      <top style="thin"/>
      <bottom style="thin"/>
    </border>
    <border>
      <left style="double"/>
      <right>
        <color indexed="63"/>
      </right>
      <top style="double"/>
      <bottom style="medium"/>
    </border>
    <border>
      <left style="double"/>
      <right style="medium"/>
      <top style="double"/>
      <bottom style="medium"/>
    </border>
    <border>
      <left>
        <color indexed="63"/>
      </left>
      <right>
        <color indexed="63"/>
      </right>
      <top>
        <color indexed="63"/>
      </top>
      <bottom style="medium"/>
    </border>
    <border>
      <left style="double"/>
      <right style="double"/>
      <top>
        <color indexed="63"/>
      </top>
      <bottom>
        <color indexed="63"/>
      </bottom>
    </border>
    <border>
      <left style="double"/>
      <right style="double"/>
      <top>
        <color indexed="63"/>
      </top>
      <bottom style="double"/>
    </border>
    <border>
      <left style="medium"/>
      <right style="medium"/>
      <top style="medium"/>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medium"/>
      <top style="thin"/>
      <bottom style="medium"/>
    </border>
    <border>
      <left style="thin"/>
      <right style="medium"/>
      <top style="medium"/>
      <bottom style="thin"/>
    </border>
    <border>
      <left>
        <color indexed="63"/>
      </left>
      <right>
        <color indexed="63"/>
      </right>
      <top style="double"/>
      <bottom style="medium"/>
    </border>
    <border>
      <left>
        <color indexed="63"/>
      </left>
      <right>
        <color indexed="63"/>
      </right>
      <top style="double"/>
      <bottom style="thin"/>
    </border>
    <border>
      <left>
        <color indexed="63"/>
      </left>
      <right style="thin"/>
      <top style="double"/>
      <bottom style="medium"/>
    </border>
    <border>
      <left style="double"/>
      <right style="thin"/>
      <top style="thick"/>
      <bottom style="thin"/>
    </border>
    <border>
      <left style="double"/>
      <right>
        <color indexed="63"/>
      </right>
      <top>
        <color indexed="63"/>
      </top>
      <bottom style="thick"/>
    </border>
    <border>
      <left>
        <color indexed="63"/>
      </left>
      <right style="double"/>
      <top>
        <color indexed="63"/>
      </top>
      <bottom style="thick"/>
    </border>
    <border>
      <left style="thin"/>
      <right style="double"/>
      <top style="thick"/>
      <bottom style="thin"/>
    </border>
    <border>
      <left>
        <color indexed="63"/>
      </left>
      <right style="medium"/>
      <top style="double"/>
      <bottom style="medium"/>
    </border>
    <border>
      <left>
        <color indexed="63"/>
      </left>
      <right style="thin"/>
      <top>
        <color indexed="63"/>
      </top>
      <bottom>
        <color indexed="63"/>
      </bottom>
    </border>
    <border>
      <left>
        <color indexed="63"/>
      </left>
      <right style="thin"/>
      <top>
        <color indexed="63"/>
      </top>
      <bottom style="medium"/>
    </border>
    <border>
      <left/>
      <right/>
      <top style="thin"/>
      <bottom/>
    </border>
    <border>
      <left>
        <color indexed="63"/>
      </left>
      <right>
        <color indexed="63"/>
      </right>
      <top style="thin"/>
      <bottom style="thin"/>
    </border>
    <border>
      <left>
        <color indexed="63"/>
      </left>
      <right style="double"/>
      <top style="thin"/>
      <bottom>
        <color indexed="63"/>
      </bottom>
    </border>
    <border>
      <left style="double"/>
      <right style="thin"/>
      <top style="double"/>
      <bottom>
        <color indexed="63"/>
      </bottom>
    </border>
    <border>
      <left style="double"/>
      <right style="thin"/>
      <top>
        <color indexed="63"/>
      </top>
      <bottom>
        <color indexed="63"/>
      </bottom>
    </border>
    <border>
      <left style="thin"/>
      <right style="double"/>
      <top style="thick"/>
      <bottom>
        <color indexed="63"/>
      </bottom>
    </border>
    <border>
      <left style="thin"/>
      <right style="double"/>
      <top style="thin"/>
      <bottom style="double"/>
    </border>
    <border>
      <left style="thin"/>
      <right style="medium"/>
      <top style="thin"/>
      <bottom style="double"/>
    </border>
    <border>
      <left style="thin"/>
      <right style="thin"/>
      <top style="medium"/>
      <bottom>
        <color indexed="63"/>
      </bottom>
    </border>
    <border>
      <left style="thin"/>
      <right style="medium"/>
      <top style="medium"/>
      <bottom>
        <color indexed="63"/>
      </bottom>
    </border>
    <border>
      <left style="medium"/>
      <right style="medium"/>
      <top style="medium"/>
      <bottom>
        <color indexed="63"/>
      </bottom>
    </border>
    <border>
      <left style="medium"/>
      <right style="thin"/>
      <top style="thin"/>
      <bottom>
        <color indexed="63"/>
      </bottom>
    </border>
    <border>
      <left style="thin"/>
      <right style="medium"/>
      <top style="thin"/>
      <bottom style="medium"/>
    </border>
    <border>
      <left style="medium"/>
      <right style="medium"/>
      <top style="double"/>
      <bottom>
        <color indexed="63"/>
      </bottom>
    </border>
    <border>
      <left style="thin"/>
      <right>
        <color indexed="63"/>
      </right>
      <top style="medium"/>
      <bottom style="medium"/>
    </border>
    <border>
      <left style="medium"/>
      <right style="double"/>
      <top style="double"/>
      <bottom>
        <color indexed="63"/>
      </bottom>
    </border>
    <border>
      <left style="medium"/>
      <right style="double"/>
      <top>
        <color indexed="63"/>
      </top>
      <bottom style="double"/>
    </border>
    <border>
      <left>
        <color indexed="63"/>
      </left>
      <right>
        <color indexed="63"/>
      </right>
      <top style="thin"/>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thin"/>
      <top style="thin"/>
      <bottom style="medium"/>
    </border>
    <border>
      <left style="thin"/>
      <right style="medium"/>
      <top>
        <color indexed="63"/>
      </top>
      <bottom style="medium"/>
    </border>
    <border>
      <left>
        <color indexed="63"/>
      </left>
      <right style="thin"/>
      <top style="medium"/>
      <bottom style="medium"/>
    </border>
    <border>
      <left>
        <color indexed="63"/>
      </left>
      <right style="thin"/>
      <top style="thin"/>
      <bottom>
        <color indexed="63"/>
      </bottom>
    </border>
    <border>
      <left style="thin"/>
      <right style="thin"/>
      <top>
        <color indexed="63"/>
      </top>
      <bottom style="medium"/>
    </border>
    <border>
      <left>
        <color indexed="63"/>
      </left>
      <right style="medium"/>
      <top>
        <color indexed="63"/>
      </top>
      <bottom style="medium"/>
    </border>
    <border>
      <left style="thin"/>
      <right>
        <color indexed="63"/>
      </right>
      <top style="thin"/>
      <bottom>
        <color indexed="63"/>
      </bottom>
    </border>
    <border>
      <left style="medium"/>
      <right>
        <color indexed="63"/>
      </right>
      <top style="medium"/>
      <bottom style="medium"/>
    </border>
    <border>
      <left style="medium"/>
      <right style="medium"/>
      <top>
        <color indexed="63"/>
      </top>
      <bottom>
        <color indexed="63"/>
      </bottom>
    </border>
    <border>
      <left style="thin"/>
      <right style="medium"/>
      <top>
        <color indexed="63"/>
      </top>
      <bottom>
        <color indexed="63"/>
      </bottom>
    </border>
    <border>
      <left>
        <color indexed="63"/>
      </left>
      <right>
        <color indexed="63"/>
      </right>
      <top style="medium"/>
      <bottom style="medium"/>
    </border>
    <border>
      <left style="double"/>
      <right>
        <color indexed="63"/>
      </right>
      <top style="medium"/>
      <bottom>
        <color indexed="63"/>
      </bottom>
    </border>
    <border>
      <left style="medium"/>
      <right style="medium"/>
      <top>
        <color indexed="63"/>
      </top>
      <bottom style="medium"/>
    </border>
    <border>
      <left style="medium"/>
      <right style="medium"/>
      <top style="thin"/>
      <bottom>
        <color indexed="63"/>
      </bottom>
    </border>
  </borders>
  <cellStyleXfs count="9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5" borderId="0" applyNumberFormat="0" applyBorder="0" applyAlignment="0" applyProtection="0"/>
    <xf numFmtId="0" fontId="64" fillId="8" borderId="0" applyNumberFormat="0" applyBorder="0" applyAlignment="0" applyProtection="0"/>
    <xf numFmtId="0" fontId="64" fillId="11" borderId="0" applyNumberFormat="0" applyBorder="0" applyAlignment="0" applyProtection="0"/>
    <xf numFmtId="0" fontId="65" fillId="12"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6" fillId="16" borderId="1" applyNumberFormat="0" applyAlignment="0" applyProtection="0"/>
    <xf numFmtId="0" fontId="67" fillId="0" borderId="2" applyNumberFormat="0" applyFill="0" applyAlignment="0" applyProtection="0"/>
    <xf numFmtId="0" fontId="68" fillId="17" borderId="3"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13" borderId="0" applyNumberFormat="0" applyBorder="0" applyAlignment="0" applyProtection="0"/>
    <xf numFmtId="0" fontId="65" fillId="14" borderId="0" applyNumberFormat="0" applyBorder="0" applyAlignment="0" applyProtection="0"/>
    <xf numFmtId="0" fontId="65" fillId="21" borderId="0" applyNumberFormat="0" applyBorder="0" applyAlignment="0" applyProtection="0"/>
    <xf numFmtId="197" fontId="0" fillId="0" borderId="0" applyFont="0" applyFill="0" applyBorder="0" applyAlignment="0" applyProtection="0"/>
    <xf numFmtId="0" fontId="69" fillId="7" borderId="1" applyNumberFormat="0" applyAlignment="0" applyProtection="0"/>
    <xf numFmtId="0" fontId="138" fillId="0" borderId="0" applyNumberFormat="0" applyBorder="0" applyAlignment="0">
      <protection/>
    </xf>
    <xf numFmtId="40" fontId="4" fillId="0" borderId="0" applyFont="0" applyFill="0" applyBorder="0" applyAlignment="0" applyProtection="0"/>
    <xf numFmtId="41" fontId="51" fillId="0" borderId="0" applyFon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40" fontId="4" fillId="0" borderId="0" applyFont="0" applyFill="0" applyBorder="0" applyAlignment="0" applyProtection="0"/>
    <xf numFmtId="0" fontId="70" fillId="22" borderId="0" applyNumberFormat="0" applyBorder="0" applyAlignment="0" applyProtection="0"/>
    <xf numFmtId="0" fontId="0" fillId="0" borderId="0">
      <alignment/>
      <protection/>
    </xf>
    <xf numFmtId="0" fontId="103" fillId="0" borderId="0">
      <alignment/>
      <protection/>
    </xf>
    <xf numFmtId="0" fontId="0" fillId="0" borderId="0">
      <alignment/>
      <protection/>
    </xf>
    <xf numFmtId="0" fontId="0" fillId="0" borderId="0">
      <alignment/>
      <protection/>
    </xf>
    <xf numFmtId="0" fontId="17" fillId="0" borderId="0">
      <alignment/>
      <protection/>
    </xf>
    <xf numFmtId="0" fontId="17" fillId="0" borderId="0">
      <alignment/>
      <protection/>
    </xf>
    <xf numFmtId="0" fontId="138" fillId="0" borderId="0">
      <alignment/>
      <protection/>
    </xf>
    <xf numFmtId="0" fontId="139" fillId="0" borderId="0">
      <alignment/>
      <protection/>
    </xf>
    <xf numFmtId="0" fontId="138" fillId="0" borderId="0">
      <alignment/>
      <protection/>
    </xf>
    <xf numFmtId="0" fontId="0" fillId="0" borderId="0">
      <alignment/>
      <protection/>
    </xf>
    <xf numFmtId="0" fontId="139" fillId="0" borderId="0">
      <alignment/>
      <protection/>
    </xf>
    <xf numFmtId="0" fontId="103" fillId="0" borderId="0">
      <alignment/>
      <protection/>
    </xf>
    <xf numFmtId="0" fontId="138" fillId="0" borderId="0">
      <alignment/>
      <protection/>
    </xf>
    <xf numFmtId="0" fontId="17" fillId="0" borderId="0">
      <alignment/>
      <protection/>
    </xf>
    <xf numFmtId="0" fontId="140" fillId="0" borderId="0">
      <alignment/>
      <protection/>
    </xf>
    <xf numFmtId="0" fontId="138" fillId="0" borderId="0">
      <alignment/>
      <protection/>
    </xf>
    <xf numFmtId="0" fontId="0" fillId="0" borderId="0">
      <alignment/>
      <protection/>
    </xf>
    <xf numFmtId="0" fontId="0" fillId="0" borderId="0">
      <alignment/>
      <protection/>
    </xf>
    <xf numFmtId="0" fontId="64" fillId="0" borderId="0">
      <alignment/>
      <protection/>
    </xf>
    <xf numFmtId="173" fontId="35" fillId="0" borderId="0">
      <alignment/>
      <protection/>
    </xf>
    <xf numFmtId="0" fontId="35"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64" fillId="23" borderId="4" applyNumberFormat="0" applyFont="0" applyAlignment="0" applyProtection="0"/>
    <xf numFmtId="0" fontId="71" fillId="16" borderId="5"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6" applyNumberFormat="0" applyFill="0" applyAlignment="0" applyProtection="0"/>
    <xf numFmtId="0" fontId="76" fillId="0" borderId="7" applyNumberFormat="0" applyFill="0" applyAlignment="0" applyProtection="0"/>
    <xf numFmtId="0" fontId="77" fillId="0" borderId="8" applyNumberFormat="0" applyFill="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3" borderId="0" applyNumberFormat="0" applyBorder="0" applyAlignment="0" applyProtection="0"/>
    <xf numFmtId="0" fontId="80" fillId="4" borderId="0" applyNumberFormat="0" applyBorder="0" applyAlignment="0" applyProtection="0"/>
    <xf numFmtId="172" fontId="4" fillId="0" borderId="0" applyFont="0" applyFill="0" applyBorder="0" applyAlignment="0" applyProtection="0"/>
    <xf numFmtId="194" fontId="51" fillId="0" borderId="0" applyFont="0" applyFill="0" applyBorder="0" applyAlignment="0" applyProtection="0"/>
    <xf numFmtId="172" fontId="4" fillId="0" borderId="0" applyFont="0" applyFill="0" applyBorder="0" applyAlignment="0" applyProtection="0"/>
  </cellStyleXfs>
  <cellXfs count="1499">
    <xf numFmtId="0" fontId="0" fillId="0" borderId="0" xfId="0" applyAlignment="1">
      <alignment/>
    </xf>
    <xf numFmtId="0" fontId="5" fillId="0" borderId="0" xfId="0" applyFont="1" applyBorder="1" applyAlignment="1" applyProtection="1">
      <alignment horizontal="left" vertical="top"/>
      <protection/>
    </xf>
    <xf numFmtId="0" fontId="6" fillId="0" borderId="0" xfId="0" applyFont="1" applyBorder="1" applyAlignment="1">
      <alignment horizontal="center"/>
    </xf>
    <xf numFmtId="0" fontId="6" fillId="0" borderId="0" xfId="0" applyFont="1" applyBorder="1" applyAlignment="1">
      <alignment/>
    </xf>
    <xf numFmtId="0" fontId="6" fillId="0" borderId="0" xfId="0" applyFont="1" applyBorder="1" applyAlignment="1" applyProtection="1">
      <alignment horizontal="left"/>
      <protection/>
    </xf>
    <xf numFmtId="0" fontId="6" fillId="0" borderId="0" xfId="0" applyFont="1" applyAlignment="1">
      <alignment/>
    </xf>
    <xf numFmtId="0" fontId="7" fillId="0" borderId="0" xfId="0" applyFont="1" applyAlignment="1">
      <alignment/>
    </xf>
    <xf numFmtId="0" fontId="6" fillId="0" borderId="0" xfId="0" applyFont="1" applyAlignment="1">
      <alignment horizontal="center"/>
    </xf>
    <xf numFmtId="0" fontId="9" fillId="0" borderId="0" xfId="0" applyFont="1" applyBorder="1" applyAlignment="1" applyProtection="1">
      <alignment horizontal="right" vertical="center"/>
      <protection/>
    </xf>
    <xf numFmtId="0" fontId="6" fillId="0" borderId="0" xfId="0" applyFont="1" applyBorder="1" applyAlignment="1" applyProtection="1">
      <alignment horizontal="center"/>
      <protection/>
    </xf>
    <xf numFmtId="0" fontId="6" fillId="0" borderId="0" xfId="0" applyFont="1" applyFill="1" applyBorder="1" applyAlignment="1">
      <alignment/>
    </xf>
    <xf numFmtId="0" fontId="6" fillId="0" borderId="0" xfId="0" applyFont="1" applyFill="1" applyAlignment="1">
      <alignment/>
    </xf>
    <xf numFmtId="0" fontId="6" fillId="0" borderId="10" xfId="0" applyFont="1" applyFill="1" applyBorder="1" applyAlignment="1">
      <alignment horizontal="centerContinuous"/>
    </xf>
    <xf numFmtId="0" fontId="6" fillId="0" borderId="11" xfId="0" applyFont="1" applyFill="1" applyBorder="1" applyAlignment="1">
      <alignment horizontal="center"/>
    </xf>
    <xf numFmtId="0" fontId="6" fillId="0" borderId="12" xfId="0" applyFont="1" applyFill="1" applyBorder="1" applyAlignment="1">
      <alignment horizontal="centerContinuous" vertical="center"/>
    </xf>
    <xf numFmtId="0" fontId="6" fillId="0" borderId="13" xfId="0" applyFont="1" applyFill="1" applyBorder="1" applyAlignment="1">
      <alignment horizontal="centerContinuous"/>
    </xf>
    <xf numFmtId="0" fontId="6" fillId="0" borderId="14" xfId="0" applyFont="1" applyFill="1" applyBorder="1" applyAlignment="1" applyProtection="1">
      <alignment horizontal="center"/>
      <protection/>
    </xf>
    <xf numFmtId="0" fontId="8" fillId="0" borderId="15" xfId="0" applyFont="1" applyFill="1" applyBorder="1" applyAlignment="1" applyProtection="1">
      <alignment horizontal="centerContinuous" vertical="center"/>
      <protection/>
    </xf>
    <xf numFmtId="0" fontId="9" fillId="0" borderId="16" xfId="0" applyFont="1" applyFill="1" applyBorder="1" applyAlignment="1" applyProtection="1">
      <alignment horizontal="right" vertical="center"/>
      <protection/>
    </xf>
    <xf numFmtId="0" fontId="15" fillId="0" borderId="17" xfId="0" applyFont="1" applyFill="1" applyBorder="1" applyAlignment="1">
      <alignment horizontal="center"/>
    </xf>
    <xf numFmtId="0" fontId="9" fillId="0" borderId="18" xfId="0" applyFont="1" applyFill="1" applyBorder="1" applyAlignment="1" applyProtection="1">
      <alignment horizontal="centerContinuous" vertical="center" wrapText="1"/>
      <protection/>
    </xf>
    <xf numFmtId="0" fontId="9" fillId="0" borderId="19" xfId="0" applyFont="1" applyFill="1" applyBorder="1" applyAlignment="1" applyProtection="1">
      <alignment horizontal="centerContinuous" vertical="center"/>
      <protection/>
    </xf>
    <xf numFmtId="0" fontId="9" fillId="0" borderId="20" xfId="0" applyFont="1" applyFill="1" applyBorder="1" applyAlignment="1">
      <alignment horizontal="centerContinuous" vertical="center"/>
    </xf>
    <xf numFmtId="0" fontId="9" fillId="0" borderId="19" xfId="0" applyFont="1" applyFill="1" applyBorder="1" applyAlignment="1" applyProtection="1">
      <alignment horizontal="centerContinuous" vertical="center" wrapText="1"/>
      <protection/>
    </xf>
    <xf numFmtId="0" fontId="6" fillId="0" borderId="21" xfId="0" applyFont="1" applyFill="1" applyBorder="1" applyAlignment="1" applyProtection="1">
      <alignment horizontal="left"/>
      <protection/>
    </xf>
    <xf numFmtId="0" fontId="6" fillId="0" borderId="22" xfId="0" applyFont="1" applyFill="1" applyBorder="1" applyAlignment="1" applyProtection="1">
      <alignment horizontal="left"/>
      <protection/>
    </xf>
    <xf numFmtId="0" fontId="6" fillId="0" borderId="0" xfId="0" applyFont="1" applyAlignment="1">
      <alignment/>
    </xf>
    <xf numFmtId="0" fontId="14" fillId="0" borderId="23" xfId="0" applyFont="1" applyFill="1" applyBorder="1" applyAlignment="1" applyProtection="1">
      <alignment horizontal="center" vertical="center"/>
      <protection/>
    </xf>
    <xf numFmtId="0" fontId="5" fillId="0" borderId="0" xfId="80" applyFont="1" applyBorder="1" applyAlignment="1" applyProtection="1">
      <alignment horizontal="left" vertical="top"/>
      <protection/>
    </xf>
    <xf numFmtId="0" fontId="6" fillId="0" borderId="0" xfId="80" applyFont="1" applyBorder="1" applyAlignment="1">
      <alignment horizontal="center"/>
      <protection/>
    </xf>
    <xf numFmtId="0" fontId="6" fillId="0" borderId="0" xfId="80" applyFont="1" applyBorder="1">
      <alignment/>
      <protection/>
    </xf>
    <xf numFmtId="0" fontId="6" fillId="0" borderId="0" xfId="80" applyFont="1">
      <alignment/>
      <protection/>
    </xf>
    <xf numFmtId="0" fontId="14" fillId="0" borderId="23" xfId="80" applyFont="1" applyFill="1" applyBorder="1" applyAlignment="1" applyProtection="1">
      <alignment horizontal="center" vertical="center"/>
      <protection/>
    </xf>
    <xf numFmtId="0" fontId="9" fillId="0" borderId="24" xfId="80" applyFont="1" applyFill="1" applyBorder="1" applyAlignment="1" applyProtection="1">
      <alignment horizontal="center" vertical="center"/>
      <protection/>
    </xf>
    <xf numFmtId="0" fontId="9" fillId="0" borderId="25" xfId="80" applyFont="1" applyFill="1" applyBorder="1" applyAlignment="1" applyProtection="1">
      <alignment horizontal="right" vertical="center"/>
      <protection/>
    </xf>
    <xf numFmtId="0" fontId="6" fillId="0" borderId="0" xfId="80" applyFont="1" applyAlignment="1">
      <alignment horizontal="center"/>
      <protection/>
    </xf>
    <xf numFmtId="0" fontId="17" fillId="0" borderId="0" xfId="79">
      <alignment/>
      <protection/>
    </xf>
    <xf numFmtId="0" fontId="18" fillId="0" borderId="26" xfId="79" applyFont="1" applyFill="1" applyBorder="1" applyAlignment="1">
      <alignment horizontal="centerContinuous" vertical="center" wrapText="1"/>
      <protection/>
    </xf>
    <xf numFmtId="0" fontId="6" fillId="0" borderId="27" xfId="79" applyFont="1" applyFill="1" applyBorder="1" applyAlignment="1">
      <alignment horizontal="centerContinuous" vertical="center" wrapText="1"/>
      <protection/>
    </xf>
    <xf numFmtId="0" fontId="9" fillId="0" borderId="28" xfId="79" applyFont="1" applyFill="1" applyBorder="1" applyAlignment="1" applyProtection="1">
      <alignment horizontal="center" vertical="center"/>
      <protection/>
    </xf>
    <xf numFmtId="0" fontId="19" fillId="0" borderId="29" xfId="79" applyFont="1" applyFill="1" applyBorder="1" applyAlignment="1" applyProtection="1">
      <alignment horizontal="centerContinuous" vertical="center" wrapText="1"/>
      <protection/>
    </xf>
    <xf numFmtId="0" fontId="19" fillId="0" borderId="0" xfId="79" applyFont="1" applyFill="1" applyBorder="1" applyAlignment="1" applyProtection="1">
      <alignment horizontal="centerContinuous" vertical="center" wrapText="1"/>
      <protection/>
    </xf>
    <xf numFmtId="0" fontId="19" fillId="0" borderId="30" xfId="79" applyFont="1" applyFill="1" applyBorder="1" applyAlignment="1" applyProtection="1">
      <alignment horizontal="center" vertical="center" wrapText="1"/>
      <protection/>
    </xf>
    <xf numFmtId="0" fontId="19" fillId="0" borderId="30" xfId="79" applyFont="1" applyFill="1" applyBorder="1" applyAlignment="1" applyProtection="1">
      <alignment horizontal="centerContinuous" vertical="center" wrapText="1"/>
      <protection/>
    </xf>
    <xf numFmtId="0" fontId="9" fillId="0" borderId="25" xfId="79" applyFont="1" applyFill="1" applyBorder="1" applyAlignment="1" applyProtection="1">
      <alignment horizontal="right" vertical="center"/>
      <protection/>
    </xf>
    <xf numFmtId="0" fontId="6" fillId="0" borderId="31" xfId="79" applyFont="1" applyFill="1" applyBorder="1" applyAlignment="1" applyProtection="1">
      <alignment horizontal="center"/>
      <protection/>
    </xf>
    <xf numFmtId="0" fontId="6" fillId="0" borderId="0" xfId="78" applyFont="1">
      <alignment/>
      <protection/>
    </xf>
    <xf numFmtId="0" fontId="7" fillId="0" borderId="0" xfId="78" applyFont="1">
      <alignment/>
      <protection/>
    </xf>
    <xf numFmtId="0" fontId="6" fillId="0" borderId="0" xfId="78" applyFont="1" applyAlignment="1">
      <alignment horizontal="center"/>
      <protection/>
    </xf>
    <xf numFmtId="0" fontId="6" fillId="0" borderId="10" xfId="78" applyFont="1" applyFill="1" applyBorder="1" applyAlignment="1">
      <alignment horizontal="centerContinuous"/>
      <protection/>
    </xf>
    <xf numFmtId="0" fontId="6" fillId="0" borderId="11" xfId="78" applyFont="1" applyFill="1" applyBorder="1" applyAlignment="1">
      <alignment horizontal="center"/>
      <protection/>
    </xf>
    <xf numFmtId="0" fontId="9" fillId="0" borderId="12" xfId="78" applyFont="1" applyFill="1" applyBorder="1" applyAlignment="1">
      <alignment horizontal="centerContinuous" vertical="center"/>
      <protection/>
    </xf>
    <xf numFmtId="0" fontId="6" fillId="0" borderId="12" xfId="78" applyFont="1" applyFill="1" applyBorder="1" applyAlignment="1">
      <alignment horizontal="centerContinuous" vertical="center"/>
      <protection/>
    </xf>
    <xf numFmtId="0" fontId="6" fillId="0" borderId="32" xfId="78" applyFont="1" applyFill="1" applyBorder="1" applyAlignment="1">
      <alignment horizontal="centerContinuous" vertical="center"/>
      <protection/>
    </xf>
    <xf numFmtId="0" fontId="9" fillId="0" borderId="24" xfId="78" applyFont="1" applyFill="1" applyBorder="1" applyAlignment="1" applyProtection="1">
      <alignment horizontal="center" vertical="center"/>
      <protection/>
    </xf>
    <xf numFmtId="0" fontId="6" fillId="0" borderId="17" xfId="78" applyFont="1" applyFill="1" applyBorder="1" applyAlignment="1">
      <alignment horizontal="center"/>
      <protection/>
    </xf>
    <xf numFmtId="0" fontId="20" fillId="0" borderId="33" xfId="78" applyFont="1" applyFill="1" applyBorder="1" applyAlignment="1" applyProtection="1">
      <alignment horizontal="center"/>
      <protection/>
    </xf>
    <xf numFmtId="0" fontId="20" fillId="0" borderId="34" xfId="78" applyFont="1" applyFill="1" applyBorder="1" applyAlignment="1" applyProtection="1">
      <alignment horizontal="center"/>
      <protection/>
    </xf>
    <xf numFmtId="0" fontId="20" fillId="0" borderId="35" xfId="78" applyFont="1" applyFill="1" applyBorder="1" applyAlignment="1" applyProtection="1">
      <alignment horizontal="center"/>
      <protection/>
    </xf>
    <xf numFmtId="0" fontId="9" fillId="0" borderId="25" xfId="78" applyFont="1" applyFill="1" applyBorder="1" applyAlignment="1" applyProtection="1">
      <alignment horizontal="right" vertical="center"/>
      <protection/>
    </xf>
    <xf numFmtId="0" fontId="6" fillId="0" borderId="31" xfId="78" applyFont="1" applyFill="1" applyBorder="1" applyAlignment="1" applyProtection="1">
      <alignment horizontal="center"/>
      <protection/>
    </xf>
    <xf numFmtId="0" fontId="6" fillId="0" borderId="0" xfId="77" applyFont="1">
      <alignment/>
      <protection/>
    </xf>
    <xf numFmtId="0" fontId="7" fillId="0" borderId="0" xfId="77" applyFont="1">
      <alignment/>
      <protection/>
    </xf>
    <xf numFmtId="0" fontId="6" fillId="0" borderId="0" xfId="77" applyFont="1" applyAlignment="1">
      <alignment horizontal="center"/>
      <protection/>
    </xf>
    <xf numFmtId="0" fontId="6" fillId="0" borderId="10" xfId="77" applyFont="1" applyFill="1" applyBorder="1" applyAlignment="1">
      <alignment horizontal="centerContinuous"/>
      <protection/>
    </xf>
    <xf numFmtId="0" fontId="6" fillId="0" borderId="11" xfId="77" applyFont="1" applyFill="1" applyBorder="1" applyAlignment="1">
      <alignment horizontal="center"/>
      <protection/>
    </xf>
    <xf numFmtId="0" fontId="9" fillId="0" borderId="12" xfId="77" applyFont="1" applyFill="1" applyBorder="1" applyAlignment="1">
      <alignment horizontal="centerContinuous" vertical="center"/>
      <protection/>
    </xf>
    <xf numFmtId="0" fontId="6" fillId="0" borderId="12" xfId="77" applyFont="1" applyFill="1" applyBorder="1" applyAlignment="1">
      <alignment horizontal="centerContinuous" vertical="center"/>
      <protection/>
    </xf>
    <xf numFmtId="0" fontId="6" fillId="0" borderId="32" xfId="77" applyFont="1" applyFill="1" applyBorder="1" applyAlignment="1">
      <alignment horizontal="centerContinuous" vertical="center"/>
      <protection/>
    </xf>
    <xf numFmtId="0" fontId="9" fillId="0" borderId="24" xfId="77" applyFont="1" applyFill="1" applyBorder="1" applyAlignment="1" applyProtection="1">
      <alignment horizontal="center" vertical="center"/>
      <protection/>
    </xf>
    <xf numFmtId="0" fontId="9" fillId="0" borderId="18" xfId="77" applyFont="1" applyFill="1" applyBorder="1" applyAlignment="1" applyProtection="1">
      <alignment horizontal="centerContinuous" vertical="center"/>
      <protection/>
    </xf>
    <xf numFmtId="0" fontId="6" fillId="0" borderId="17" xfId="77" applyFont="1" applyFill="1" applyBorder="1" applyAlignment="1">
      <alignment horizontal="center"/>
      <protection/>
    </xf>
    <xf numFmtId="0" fontId="20" fillId="0" borderId="33" xfId="77" applyFont="1" applyFill="1" applyBorder="1" applyAlignment="1" applyProtection="1">
      <alignment horizontal="center"/>
      <protection/>
    </xf>
    <xf numFmtId="0" fontId="20" fillId="0" borderId="34" xfId="77" applyFont="1" applyFill="1" applyBorder="1" applyAlignment="1" applyProtection="1">
      <alignment horizontal="center"/>
      <protection/>
    </xf>
    <xf numFmtId="0" fontId="20" fillId="0" borderId="35" xfId="77" applyFont="1" applyFill="1" applyBorder="1" applyAlignment="1" applyProtection="1">
      <alignment horizontal="center"/>
      <protection/>
    </xf>
    <xf numFmtId="0" fontId="9" fillId="0" borderId="25" xfId="77" applyFont="1" applyFill="1" applyBorder="1" applyAlignment="1" applyProtection="1">
      <alignment horizontal="right" vertical="center"/>
      <protection/>
    </xf>
    <xf numFmtId="0" fontId="6" fillId="0" borderId="31" xfId="77" applyFont="1" applyFill="1" applyBorder="1" applyAlignment="1" applyProtection="1">
      <alignment horizontal="center"/>
      <protection/>
    </xf>
    <xf numFmtId="0" fontId="5" fillId="0" borderId="0" xfId="76" applyFont="1" applyBorder="1" applyAlignment="1" applyProtection="1">
      <alignment horizontal="left" vertical="top"/>
      <protection/>
    </xf>
    <xf numFmtId="0" fontId="6" fillId="0" borderId="0" xfId="76" applyFont="1" applyBorder="1" applyAlignment="1">
      <alignment horizontal="center"/>
      <protection/>
    </xf>
    <xf numFmtId="0" fontId="6" fillId="0" borderId="0" xfId="76" applyFont="1" applyBorder="1">
      <alignment/>
      <protection/>
    </xf>
    <xf numFmtId="0" fontId="6" fillId="0" borderId="0" xfId="76" applyFont="1" applyBorder="1" applyAlignment="1" applyProtection="1">
      <alignment horizontal="left"/>
      <protection/>
    </xf>
    <xf numFmtId="0" fontId="6" fillId="0" borderId="0" xfId="76" applyFont="1">
      <alignment/>
      <protection/>
    </xf>
    <xf numFmtId="0" fontId="6" fillId="0" borderId="10" xfId="76" applyFont="1" applyFill="1" applyBorder="1" applyAlignment="1">
      <alignment horizontal="centerContinuous"/>
      <protection/>
    </xf>
    <xf numFmtId="0" fontId="6" fillId="0" borderId="11" xfId="76" applyFont="1" applyFill="1" applyBorder="1" applyAlignment="1">
      <alignment horizontal="center"/>
      <protection/>
    </xf>
    <xf numFmtId="0" fontId="9" fillId="0" borderId="12" xfId="76" applyFont="1" applyFill="1" applyBorder="1" applyAlignment="1">
      <alignment horizontal="centerContinuous" vertical="center"/>
      <protection/>
    </xf>
    <xf numFmtId="0" fontId="6" fillId="0" borderId="12" xfId="76" applyFont="1" applyFill="1" applyBorder="1" applyAlignment="1">
      <alignment horizontal="centerContinuous" vertical="center"/>
      <protection/>
    </xf>
    <xf numFmtId="0" fontId="6" fillId="0" borderId="32" xfId="76" applyFont="1" applyFill="1" applyBorder="1" applyAlignment="1">
      <alignment horizontal="centerContinuous" vertical="center"/>
      <protection/>
    </xf>
    <xf numFmtId="0" fontId="9" fillId="0" borderId="24" xfId="76" applyFont="1" applyFill="1" applyBorder="1" applyAlignment="1" applyProtection="1">
      <alignment horizontal="center" vertical="center"/>
      <protection/>
    </xf>
    <xf numFmtId="0" fontId="6" fillId="0" borderId="17" xfId="76" applyFont="1" applyFill="1" applyBorder="1" applyAlignment="1">
      <alignment horizontal="center"/>
      <protection/>
    </xf>
    <xf numFmtId="0" fontId="9" fillId="0" borderId="25" xfId="76" applyFont="1" applyFill="1" applyBorder="1" applyAlignment="1" applyProtection="1">
      <alignment horizontal="right" vertical="center"/>
      <protection/>
    </xf>
    <xf numFmtId="0" fontId="6" fillId="0" borderId="31" xfId="76" applyFont="1" applyFill="1" applyBorder="1" applyAlignment="1" applyProtection="1">
      <alignment horizontal="center"/>
      <protection/>
    </xf>
    <xf numFmtId="0" fontId="6" fillId="0" borderId="0" xfId="76" applyFont="1" applyAlignment="1">
      <alignment horizontal="center"/>
      <protection/>
    </xf>
    <xf numFmtId="0" fontId="6" fillId="0" borderId="0" xfId="75" applyFont="1">
      <alignment/>
      <protection/>
    </xf>
    <xf numFmtId="0" fontId="6" fillId="0" borderId="10" xfId="75" applyFont="1" applyFill="1" applyBorder="1" applyAlignment="1">
      <alignment horizontal="centerContinuous"/>
      <protection/>
    </xf>
    <xf numFmtId="0" fontId="6" fillId="0" borderId="11" xfId="75" applyFont="1" applyFill="1" applyBorder="1" applyAlignment="1">
      <alignment horizontal="center"/>
      <protection/>
    </xf>
    <xf numFmtId="0" fontId="6" fillId="0" borderId="12" xfId="75" applyFont="1" applyFill="1" applyBorder="1" applyAlignment="1">
      <alignment horizontal="centerContinuous" vertical="center"/>
      <protection/>
    </xf>
    <xf numFmtId="0" fontId="6" fillId="0" borderId="32" xfId="75" applyFont="1" applyFill="1" applyBorder="1" applyAlignment="1">
      <alignment horizontal="centerContinuous" vertical="center"/>
      <protection/>
    </xf>
    <xf numFmtId="0" fontId="9" fillId="0" borderId="24" xfId="75" applyFont="1" applyFill="1" applyBorder="1" applyAlignment="1" applyProtection="1">
      <alignment horizontal="center" vertical="center"/>
      <protection/>
    </xf>
    <xf numFmtId="0" fontId="6" fillId="0" borderId="36" xfId="75" applyFont="1" applyFill="1" applyBorder="1" applyAlignment="1">
      <alignment horizontal="centerContinuous"/>
      <protection/>
    </xf>
    <xf numFmtId="0" fontId="6" fillId="0" borderId="17" xfId="75" applyFont="1" applyFill="1" applyBorder="1" applyAlignment="1">
      <alignment horizontal="center"/>
      <protection/>
    </xf>
    <xf numFmtId="0" fontId="9" fillId="0" borderId="25" xfId="75" applyFont="1" applyFill="1" applyBorder="1" applyAlignment="1" applyProtection="1">
      <alignment horizontal="right" vertical="center"/>
      <protection/>
    </xf>
    <xf numFmtId="0" fontId="6" fillId="0" borderId="31" xfId="75" applyFont="1" applyFill="1" applyBorder="1" applyAlignment="1" applyProtection="1">
      <alignment horizontal="center"/>
      <protection/>
    </xf>
    <xf numFmtId="0" fontId="6" fillId="0" borderId="0" xfId="75" applyFont="1" applyAlignment="1">
      <alignment horizontal="center"/>
      <protection/>
    </xf>
    <xf numFmtId="0" fontId="6" fillId="0" borderId="15" xfId="0" applyFont="1" applyFill="1" applyBorder="1" applyAlignment="1">
      <alignment horizontal="centerContinuous" vertical="center"/>
    </xf>
    <xf numFmtId="0" fontId="17" fillId="0" borderId="0" xfId="0" applyFont="1" applyAlignment="1">
      <alignment/>
    </xf>
    <xf numFmtId="0" fontId="6" fillId="0" borderId="37" xfId="0" applyFont="1" applyFill="1" applyBorder="1" applyAlignment="1">
      <alignment horizontal="center"/>
    </xf>
    <xf numFmtId="0" fontId="6" fillId="0" borderId="0" xfId="0" applyFont="1" applyAlignment="1">
      <alignment vertical="center"/>
    </xf>
    <xf numFmtId="0" fontId="5" fillId="0" borderId="12" xfId="0" applyFont="1" applyFill="1" applyBorder="1" applyAlignment="1">
      <alignment horizontal="centerContinuous" vertical="center"/>
    </xf>
    <xf numFmtId="0" fontId="6" fillId="0" borderId="38" xfId="0" applyFont="1" applyFill="1" applyBorder="1" applyAlignment="1">
      <alignment horizontal="centerContinuous" vertical="center"/>
    </xf>
    <xf numFmtId="0" fontId="25" fillId="0" borderId="23" xfId="0" applyFont="1" applyFill="1" applyBorder="1" applyAlignment="1" applyProtection="1">
      <alignment horizontal="center" vertical="center"/>
      <protection/>
    </xf>
    <xf numFmtId="0" fontId="9" fillId="0" borderId="24" xfId="0" applyFont="1" applyFill="1" applyBorder="1" applyAlignment="1" applyProtection="1">
      <alignment horizontal="center" vertical="center" wrapText="1"/>
      <protection/>
    </xf>
    <xf numFmtId="0" fontId="9" fillId="0" borderId="39" xfId="0" applyFont="1" applyFill="1" applyBorder="1" applyAlignment="1">
      <alignment horizontal="centerContinuous" vertical="center"/>
    </xf>
    <xf numFmtId="0" fontId="0" fillId="0" borderId="0" xfId="0" applyAlignment="1">
      <alignment horizontal="center"/>
    </xf>
    <xf numFmtId="0" fontId="8" fillId="0" borderId="0" xfId="0" applyFont="1" applyAlignment="1">
      <alignment/>
    </xf>
    <xf numFmtId="0" fontId="9" fillId="0" borderId="40" xfId="0" applyFont="1" applyFill="1" applyBorder="1" applyAlignment="1" applyProtection="1">
      <alignment horizontal="center" vertical="center"/>
      <protection/>
    </xf>
    <xf numFmtId="0" fontId="6" fillId="0" borderId="41" xfId="0" applyFont="1" applyFill="1" applyBorder="1" applyAlignment="1" applyProtection="1">
      <alignment horizontal="justify"/>
      <protection/>
    </xf>
    <xf numFmtId="0" fontId="23" fillId="0" borderId="0" xfId="0" applyFont="1" applyAlignment="1">
      <alignment/>
    </xf>
    <xf numFmtId="0" fontId="6" fillId="0" borderId="42" xfId="0" applyFont="1" applyFill="1" applyBorder="1" applyAlignment="1" applyProtection="1">
      <alignment horizontal="justify"/>
      <protection/>
    </xf>
    <xf numFmtId="0" fontId="0" fillId="0" borderId="0" xfId="0" applyFont="1" applyAlignment="1">
      <alignment/>
    </xf>
    <xf numFmtId="0" fontId="6" fillId="0" borderId="41" xfId="0" applyFont="1" applyFill="1" applyBorder="1" applyAlignment="1" applyProtection="1">
      <alignment horizontal="left"/>
      <protection/>
    </xf>
    <xf numFmtId="0" fontId="6" fillId="0" borderId="41" xfId="0" applyFont="1" applyFill="1" applyBorder="1" applyAlignment="1" applyProtection="1">
      <alignment horizontal="justify" wrapText="1"/>
      <protection/>
    </xf>
    <xf numFmtId="0" fontId="6" fillId="0" borderId="41" xfId="0" applyFont="1" applyFill="1" applyBorder="1" applyAlignment="1" applyProtection="1">
      <alignment wrapText="1"/>
      <protection/>
    </xf>
    <xf numFmtId="0" fontId="9" fillId="0" borderId="43" xfId="0" applyFont="1" applyFill="1" applyBorder="1" applyAlignment="1">
      <alignment horizontal="centerContinuous" vertical="center" wrapText="1"/>
    </xf>
    <xf numFmtId="0" fontId="9" fillId="0" borderId="17" xfId="0" applyFont="1" applyFill="1" applyBorder="1" applyAlignment="1" applyProtection="1">
      <alignment horizontal="center" vertical="center"/>
      <protection/>
    </xf>
    <xf numFmtId="0" fontId="6" fillId="0" borderId="35" xfId="0" applyFont="1" applyFill="1" applyBorder="1" applyAlignment="1">
      <alignment horizontal="centerContinuous" vertical="center"/>
    </xf>
    <xf numFmtId="0" fontId="9" fillId="0" borderId="25" xfId="0" applyFont="1" applyFill="1" applyBorder="1" applyAlignment="1" applyProtection="1">
      <alignment horizontal="right" vertical="center"/>
      <protection/>
    </xf>
    <xf numFmtId="0" fontId="6" fillId="0" borderId="31" xfId="0" applyFont="1" applyFill="1" applyBorder="1" applyAlignment="1" applyProtection="1">
      <alignment horizontal="center"/>
      <protection/>
    </xf>
    <xf numFmtId="0" fontId="6" fillId="0" borderId="32" xfId="0" applyFont="1" applyFill="1" applyBorder="1" applyAlignment="1">
      <alignment horizontal="centerContinuous" vertical="center"/>
    </xf>
    <xf numFmtId="0" fontId="9" fillId="0" borderId="24" xfId="0" applyFont="1" applyFill="1" applyBorder="1" applyAlignment="1" applyProtection="1">
      <alignment horizontal="center" vertical="center"/>
      <protection/>
    </xf>
    <xf numFmtId="0" fontId="6" fillId="0" borderId="18" xfId="0" applyFont="1" applyFill="1" applyBorder="1" applyAlignment="1" applyProtection="1">
      <alignment horizontal="centerContinuous" vertical="center" wrapText="1"/>
      <protection/>
    </xf>
    <xf numFmtId="0" fontId="6" fillId="0" borderId="10" xfId="0" applyFont="1" applyFill="1" applyBorder="1" applyAlignment="1" applyProtection="1">
      <alignment horizontal="centerContinuous"/>
      <protection/>
    </xf>
    <xf numFmtId="0" fontId="9" fillId="0" borderId="12" xfId="0" applyFont="1" applyFill="1" applyBorder="1" applyAlignment="1" applyProtection="1">
      <alignment horizontal="centerContinuous" vertical="center"/>
      <protection/>
    </xf>
    <xf numFmtId="0" fontId="6" fillId="0" borderId="12" xfId="0" applyFont="1" applyFill="1" applyBorder="1" applyAlignment="1" applyProtection="1">
      <alignment horizontal="centerContinuous" vertical="center"/>
      <protection/>
    </xf>
    <xf numFmtId="0" fontId="6" fillId="0" borderId="32" xfId="0" applyFont="1" applyFill="1" applyBorder="1" applyAlignment="1" applyProtection="1">
      <alignment horizontal="centerContinuous" vertical="center"/>
      <protection/>
    </xf>
    <xf numFmtId="0" fontId="9" fillId="0" borderId="44" xfId="0" applyFont="1" applyFill="1" applyBorder="1" applyAlignment="1" applyProtection="1">
      <alignment horizontal="centerContinuous" vertical="center" wrapText="1"/>
      <protection/>
    </xf>
    <xf numFmtId="0" fontId="9" fillId="0" borderId="39" xfId="0" applyFont="1" applyFill="1" applyBorder="1" applyAlignment="1" applyProtection="1">
      <alignment horizontal="centerContinuous" vertical="center" wrapText="1"/>
      <protection/>
    </xf>
    <xf numFmtId="0" fontId="9" fillId="0" borderId="18" xfId="0" applyFont="1" applyFill="1" applyBorder="1" applyAlignment="1" applyProtection="1">
      <alignment horizontal="centerContinuous" vertical="center" wrapText="1"/>
      <protection/>
    </xf>
    <xf numFmtId="0" fontId="9" fillId="0" borderId="45" xfId="0" applyFont="1" applyFill="1" applyBorder="1" applyAlignment="1" applyProtection="1">
      <alignment horizontal="centerContinuous" vertical="center" wrapText="1"/>
      <protection/>
    </xf>
    <xf numFmtId="0" fontId="9" fillId="0" borderId="39" xfId="0" applyFont="1" applyFill="1" applyBorder="1" applyAlignment="1">
      <alignment horizontal="centerContinuous" vertical="center" wrapText="1"/>
    </xf>
    <xf numFmtId="0" fontId="9" fillId="0" borderId="45" xfId="0" applyFont="1" applyFill="1" applyBorder="1" applyAlignment="1">
      <alignment horizontal="centerContinuous" vertical="center" wrapText="1"/>
    </xf>
    <xf numFmtId="0" fontId="9" fillId="0" borderId="46" xfId="0" applyFont="1" applyFill="1" applyBorder="1" applyAlignment="1" applyProtection="1">
      <alignment horizontal="centerContinuous" vertical="center" wrapText="1"/>
      <protection/>
    </xf>
    <xf numFmtId="0" fontId="6" fillId="0" borderId="37" xfId="0" applyFont="1" applyFill="1" applyBorder="1" applyAlignment="1" applyProtection="1">
      <alignment horizontal="left"/>
      <protection/>
    </xf>
    <xf numFmtId="0" fontId="9" fillId="0" borderId="45" xfId="77" applyFont="1" applyFill="1" applyBorder="1" applyAlignment="1">
      <alignment horizontal="centerContinuous" vertical="center"/>
      <protection/>
    </xf>
    <xf numFmtId="0" fontId="6" fillId="0" borderId="42" xfId="0" applyFont="1" applyFill="1" applyBorder="1" applyAlignment="1" applyProtection="1">
      <alignment horizontal="justify" wrapText="1"/>
      <protection/>
    </xf>
    <xf numFmtId="0" fontId="9" fillId="24" borderId="47" xfId="75" applyFont="1" applyFill="1" applyBorder="1" applyAlignment="1">
      <alignment horizontal="centerContinuous" vertical="center"/>
      <protection/>
    </xf>
    <xf numFmtId="0" fontId="6" fillId="24" borderId="12" xfId="75" applyFont="1" applyFill="1" applyBorder="1" applyAlignment="1">
      <alignment horizontal="centerContinuous" vertical="center"/>
      <protection/>
    </xf>
    <xf numFmtId="0" fontId="6" fillId="24" borderId="32" xfId="75" applyFont="1" applyFill="1" applyBorder="1" applyAlignment="1">
      <alignment horizontal="centerContinuous" vertical="center"/>
      <protection/>
    </xf>
    <xf numFmtId="0" fontId="21" fillId="24" borderId="48" xfId="75" applyFont="1" applyFill="1" applyBorder="1" applyAlignment="1" applyProtection="1">
      <alignment horizontal="centerContinuous" vertical="center" wrapText="1"/>
      <protection/>
    </xf>
    <xf numFmtId="0" fontId="21" fillId="24" borderId="45" xfId="75" applyFont="1" applyFill="1" applyBorder="1" applyAlignment="1">
      <alignment horizontal="centerContinuous" vertical="center"/>
      <protection/>
    </xf>
    <xf numFmtId="0" fontId="21" fillId="24" borderId="45" xfId="76" applyFont="1" applyFill="1" applyBorder="1" applyAlignment="1">
      <alignment horizontal="centerContinuous" vertical="center"/>
      <protection/>
    </xf>
    <xf numFmtId="0" fontId="21" fillId="24" borderId="18" xfId="76" applyFont="1" applyFill="1" applyBorder="1" applyAlignment="1" applyProtection="1">
      <alignment horizontal="centerContinuous" vertical="center"/>
      <protection/>
    </xf>
    <xf numFmtId="0" fontId="20" fillId="24" borderId="36" xfId="75" applyFont="1" applyFill="1" applyBorder="1" applyAlignment="1" applyProtection="1">
      <alignment horizontal="center"/>
      <protection/>
    </xf>
    <xf numFmtId="0" fontId="20" fillId="24" borderId="35" xfId="75" applyFont="1" applyFill="1" applyBorder="1" applyAlignment="1" applyProtection="1">
      <alignment horizontal="center"/>
      <protection/>
    </xf>
    <xf numFmtId="0" fontId="20" fillId="24" borderId="33" xfId="75" applyFont="1" applyFill="1" applyBorder="1" applyAlignment="1" applyProtection="1">
      <alignment horizontal="center"/>
      <protection/>
    </xf>
    <xf numFmtId="0" fontId="20" fillId="24" borderId="36" xfId="76" applyFont="1" applyFill="1" applyBorder="1" applyAlignment="1" applyProtection="1">
      <alignment horizontal="center"/>
      <protection/>
    </xf>
    <xf numFmtId="0" fontId="20" fillId="24" borderId="35" xfId="76" applyFont="1" applyFill="1" applyBorder="1" applyAlignment="1" applyProtection="1">
      <alignment horizontal="center"/>
      <protection/>
    </xf>
    <xf numFmtId="0" fontId="20" fillId="24" borderId="33" xfId="76" applyFont="1" applyFill="1" applyBorder="1" applyAlignment="1" applyProtection="1">
      <alignment horizontal="center"/>
      <protection/>
    </xf>
    <xf numFmtId="0" fontId="6" fillId="0" borderId="49" xfId="0" applyFont="1" applyFill="1" applyBorder="1" applyAlignment="1" applyProtection="1">
      <alignment horizontal="center"/>
      <protection/>
    </xf>
    <xf numFmtId="0" fontId="6" fillId="0" borderId="50" xfId="0" applyFont="1" applyFill="1" applyBorder="1" applyAlignment="1" applyProtection="1">
      <alignment horizontal="left"/>
      <protection/>
    </xf>
    <xf numFmtId="0" fontId="9" fillId="0" borderId="51" xfId="0" applyFont="1" applyFill="1" applyBorder="1" applyAlignment="1" applyProtection="1">
      <alignment horizontal="right" vertical="center"/>
      <protection/>
    </xf>
    <xf numFmtId="0" fontId="6" fillId="0" borderId="0" xfId="0" applyFont="1" applyFill="1" applyBorder="1" applyAlignment="1" applyProtection="1">
      <alignment horizontal="left"/>
      <protection/>
    </xf>
    <xf numFmtId="0" fontId="9" fillId="0" borderId="0" xfId="78" applyFont="1" applyFill="1" applyBorder="1" applyAlignment="1" applyProtection="1">
      <alignment horizontal="right" vertical="center"/>
      <protection/>
    </xf>
    <xf numFmtId="0" fontId="6" fillId="0" borderId="0" xfId="78" applyFont="1" applyFill="1" applyBorder="1" applyAlignment="1" applyProtection="1">
      <alignment horizontal="center"/>
      <protection/>
    </xf>
    <xf numFmtId="0" fontId="6" fillId="24" borderId="0" xfId="78" applyFont="1" applyFill="1" applyBorder="1">
      <alignment/>
      <protection/>
    </xf>
    <xf numFmtId="0" fontId="17" fillId="0" borderId="52" xfId="0" applyFont="1" applyFill="1" applyBorder="1" applyAlignment="1" applyProtection="1">
      <alignment horizontal="center"/>
      <protection/>
    </xf>
    <xf numFmtId="0" fontId="17" fillId="0" borderId="37" xfId="0" applyFont="1" applyFill="1" applyBorder="1" applyAlignment="1" applyProtection="1">
      <alignment horizontal="center"/>
      <protection/>
    </xf>
    <xf numFmtId="0" fontId="17" fillId="0" borderId="53" xfId="0" applyFont="1" applyFill="1" applyBorder="1" applyAlignment="1" applyProtection="1">
      <alignment horizontal="center"/>
      <protection/>
    </xf>
    <xf numFmtId="0" fontId="6" fillId="0" borderId="0" xfId="0" applyFont="1" applyAlignment="1">
      <alignment textRotation="255"/>
    </xf>
    <xf numFmtId="0" fontId="9" fillId="0" borderId="54" xfId="0" applyFont="1" applyFill="1" applyBorder="1" applyAlignment="1" applyProtection="1">
      <alignment horizontal="right"/>
      <protection/>
    </xf>
    <xf numFmtId="0" fontId="9" fillId="0" borderId="55" xfId="78" applyFont="1" applyFill="1" applyBorder="1" applyAlignment="1" applyProtection="1">
      <alignment horizontal="center" vertical="center"/>
      <protection/>
    </xf>
    <xf numFmtId="0" fontId="9" fillId="0" borderId="55" xfId="78" applyFont="1" applyFill="1" applyBorder="1" applyAlignment="1" applyProtection="1">
      <alignment vertical="center"/>
      <protection/>
    </xf>
    <xf numFmtId="0" fontId="29" fillId="0" borderId="31" xfId="75" applyFont="1" applyFill="1" applyBorder="1" applyAlignment="1" applyProtection="1">
      <alignment horizontal="center"/>
      <protection/>
    </xf>
    <xf numFmtId="0" fontId="29" fillId="0" borderId="0" xfId="0" applyFont="1" applyAlignment="1">
      <alignment horizontal="center"/>
    </xf>
    <xf numFmtId="0" fontId="29" fillId="0" borderId="0" xfId="75" applyFont="1" applyAlignment="1">
      <alignment horizontal="center"/>
      <protection/>
    </xf>
    <xf numFmtId="0" fontId="30" fillId="0" borderId="0" xfId="0" applyFont="1" applyAlignment="1">
      <alignment/>
    </xf>
    <xf numFmtId="0" fontId="17" fillId="0" borderId="56" xfId="0" applyFont="1" applyFill="1" applyBorder="1" applyAlignment="1" applyProtection="1">
      <alignment horizontal="center"/>
      <protection/>
    </xf>
    <xf numFmtId="0" fontId="17" fillId="0" borderId="57" xfId="0" applyFont="1" applyFill="1" applyBorder="1" applyAlignment="1" applyProtection="1">
      <alignment horizontal="center"/>
      <protection/>
    </xf>
    <xf numFmtId="0" fontId="17" fillId="0" borderId="58" xfId="0" applyFont="1" applyFill="1" applyBorder="1" applyAlignment="1" applyProtection="1">
      <alignment horizontal="center"/>
      <protection/>
    </xf>
    <xf numFmtId="0" fontId="6" fillId="0" borderId="42" xfId="0" applyFont="1" applyFill="1" applyBorder="1" applyAlignment="1" applyProtection="1">
      <alignment wrapText="1"/>
      <protection/>
    </xf>
    <xf numFmtId="0" fontId="6" fillId="0" borderId="50" xfId="0" applyFont="1" applyFill="1" applyBorder="1" applyAlignment="1" applyProtection="1">
      <alignment horizontal="justify" wrapText="1"/>
      <protection/>
    </xf>
    <xf numFmtId="0" fontId="6" fillId="0" borderId="59" xfId="0" applyFont="1" applyFill="1" applyBorder="1" applyAlignment="1" applyProtection="1">
      <alignment horizontal="center"/>
      <protection/>
    </xf>
    <xf numFmtId="0" fontId="6" fillId="0" borderId="37" xfId="0" applyFont="1" applyBorder="1" applyAlignment="1">
      <alignment horizontal="center"/>
    </xf>
    <xf numFmtId="0" fontId="9" fillId="0" borderId="37" xfId="0" applyFont="1" applyBorder="1" applyAlignment="1">
      <alignment horizontal="center"/>
    </xf>
    <xf numFmtId="0" fontId="9" fillId="0" borderId="37" xfId="0" applyFont="1" applyBorder="1" applyAlignment="1">
      <alignment horizontal="center" wrapText="1"/>
    </xf>
    <xf numFmtId="0" fontId="6" fillId="0" borderId="37" xfId="0" applyFont="1" applyBorder="1" applyAlignment="1">
      <alignment/>
    </xf>
    <xf numFmtId="0" fontId="14" fillId="0" borderId="37" xfId="0" applyFont="1" applyFill="1" applyBorder="1" applyAlignment="1" applyProtection="1">
      <alignment horizontal="center" vertical="center"/>
      <protection/>
    </xf>
    <xf numFmtId="0" fontId="9" fillId="0" borderId="37" xfId="0" applyFont="1" applyFill="1" applyBorder="1" applyAlignment="1" applyProtection="1">
      <alignment horizontal="center" vertical="center"/>
      <protection/>
    </xf>
    <xf numFmtId="0" fontId="9" fillId="0" borderId="37" xfId="0" applyFont="1" applyFill="1" applyBorder="1" applyAlignment="1" applyProtection="1">
      <alignment horizontal="center" vertical="center" wrapText="1"/>
      <protection/>
    </xf>
    <xf numFmtId="0" fontId="9" fillId="0" borderId="37" xfId="0" applyFont="1" applyBorder="1" applyAlignment="1">
      <alignment horizontal="center" vertical="center" wrapText="1"/>
    </xf>
    <xf numFmtId="0" fontId="14" fillId="0" borderId="52" xfId="0" applyFont="1" applyBorder="1" applyAlignment="1">
      <alignment horizontal="center" wrapText="1"/>
    </xf>
    <xf numFmtId="0" fontId="15" fillId="0" borderId="37" xfId="0" applyFont="1" applyFill="1" applyBorder="1" applyAlignment="1" applyProtection="1">
      <alignment horizontal="center"/>
      <protection/>
    </xf>
    <xf numFmtId="0" fontId="9" fillId="0" borderId="52" xfId="0" applyFont="1" applyBorder="1" applyAlignment="1">
      <alignment horizontal="center" vertical="center" wrapText="1"/>
    </xf>
    <xf numFmtId="0" fontId="8" fillId="0" borderId="37" xfId="0" applyFont="1" applyBorder="1" applyAlignment="1">
      <alignment horizontal="center" wrapText="1"/>
    </xf>
    <xf numFmtId="0" fontId="14" fillId="0" borderId="37" xfId="0" applyFont="1" applyBorder="1" applyAlignment="1">
      <alignment horizontal="center"/>
    </xf>
    <xf numFmtId="0" fontId="14" fillId="0" borderId="37" xfId="0" applyFont="1" applyBorder="1" applyAlignment="1">
      <alignment horizontal="center" wrapText="1"/>
    </xf>
    <xf numFmtId="0" fontId="6" fillId="0" borderId="60" xfId="0" applyFont="1" applyFill="1" applyBorder="1" applyAlignment="1">
      <alignment horizontal="center"/>
    </xf>
    <xf numFmtId="0" fontId="15" fillId="0" borderId="37" xfId="0" applyFont="1" applyBorder="1" applyAlignment="1">
      <alignment/>
    </xf>
    <xf numFmtId="0" fontId="15" fillId="0" borderId="0" xfId="0" applyFont="1" applyAlignment="1">
      <alignment/>
    </xf>
    <xf numFmtId="0" fontId="14" fillId="0" borderId="37" xfId="0" applyFont="1" applyBorder="1" applyAlignment="1">
      <alignment horizontal="center" vertical="center" wrapText="1"/>
    </xf>
    <xf numFmtId="0" fontId="6" fillId="0" borderId="0" xfId="0" applyFont="1" applyAlignment="1">
      <alignment horizontal="center" vertical="center" wrapText="1"/>
    </xf>
    <xf numFmtId="0" fontId="22" fillId="0" borderId="0" xfId="0" applyFont="1" applyAlignment="1">
      <alignment/>
    </xf>
    <xf numFmtId="0" fontId="15" fillId="0" borderId="0" xfId="0" applyFont="1" applyAlignment="1">
      <alignment horizontal="center" vertical="center" wrapText="1"/>
    </xf>
    <xf numFmtId="0" fontId="14" fillId="0" borderId="37" xfId="0" applyFont="1" applyFill="1" applyBorder="1" applyAlignment="1" applyProtection="1">
      <alignment horizontal="center" vertical="center" wrapText="1"/>
      <protection/>
    </xf>
    <xf numFmtId="0" fontId="31" fillId="0" borderId="0" xfId="0" applyFont="1" applyAlignment="1">
      <alignment horizontal="center"/>
    </xf>
    <xf numFmtId="0" fontId="31" fillId="0" borderId="0" xfId="0" applyFont="1" applyAlignment="1">
      <alignment/>
    </xf>
    <xf numFmtId="0" fontId="6" fillId="0" borderId="50" xfId="0" applyFont="1" applyFill="1" applyBorder="1" applyAlignment="1" applyProtection="1">
      <alignment horizontal="left"/>
      <protection/>
    </xf>
    <xf numFmtId="0" fontId="6" fillId="0" borderId="61" xfId="0" applyFont="1" applyFill="1" applyBorder="1" applyAlignment="1" applyProtection="1">
      <alignment horizontal="left"/>
      <protection/>
    </xf>
    <xf numFmtId="3" fontId="9" fillId="0" borderId="62" xfId="0" applyNumberFormat="1" applyFont="1" applyBorder="1" applyAlignment="1">
      <alignment horizontal="center"/>
    </xf>
    <xf numFmtId="3" fontId="9" fillId="0" borderId="63" xfId="0" applyNumberFormat="1" applyFont="1" applyBorder="1" applyAlignment="1">
      <alignment horizontal="center"/>
    </xf>
    <xf numFmtId="3" fontId="6" fillId="24" borderId="37" xfId="0" applyNumberFormat="1" applyFont="1" applyFill="1" applyBorder="1" applyAlignment="1">
      <alignment horizontal="center"/>
    </xf>
    <xf numFmtId="3" fontId="6" fillId="24" borderId="53" xfId="0" applyNumberFormat="1" applyFont="1" applyFill="1" applyBorder="1" applyAlignment="1">
      <alignment horizontal="center"/>
    </xf>
    <xf numFmtId="0" fontId="9" fillId="0" borderId="59" xfId="0" applyFont="1" applyFill="1" applyBorder="1" applyAlignment="1" applyProtection="1">
      <alignment horizontal="center"/>
      <protection/>
    </xf>
    <xf numFmtId="0" fontId="9" fillId="0" borderId="64" xfId="0" applyFont="1" applyFill="1" applyBorder="1" applyAlignment="1" applyProtection="1">
      <alignment horizontal="center"/>
      <protection/>
    </xf>
    <xf numFmtId="0" fontId="9" fillId="0" borderId="65" xfId="0" applyFont="1" applyFill="1" applyBorder="1" applyAlignment="1" applyProtection="1">
      <alignment horizontal="center"/>
      <protection/>
    </xf>
    <xf numFmtId="3" fontId="6" fillId="0" borderId="66" xfId="0" applyNumberFormat="1" applyFont="1" applyFill="1" applyBorder="1" applyAlignment="1" applyProtection="1">
      <alignment/>
      <protection locked="0"/>
    </xf>
    <xf numFmtId="3" fontId="6" fillId="0" borderId="67" xfId="0" applyNumberFormat="1" applyFont="1" applyFill="1" applyBorder="1" applyAlignment="1" applyProtection="1">
      <alignment/>
      <protection locked="0"/>
    </xf>
    <xf numFmtId="4" fontId="6" fillId="0" borderId="66" xfId="0" applyNumberFormat="1" applyFont="1" applyFill="1" applyBorder="1" applyAlignment="1" applyProtection="1">
      <alignment/>
      <protection locked="0"/>
    </xf>
    <xf numFmtId="3" fontId="6" fillId="0" borderId="68" xfId="0" applyNumberFormat="1" applyFont="1" applyFill="1" applyBorder="1" applyAlignment="1" applyProtection="1">
      <alignment/>
      <protection locked="0"/>
    </xf>
    <xf numFmtId="3" fontId="6" fillId="0" borderId="69" xfId="0" applyNumberFormat="1" applyFont="1" applyFill="1" applyBorder="1" applyAlignment="1" applyProtection="1">
      <alignment/>
      <protection locked="0"/>
    </xf>
    <xf numFmtId="3" fontId="17" fillId="0" borderId="70" xfId="0" applyNumberFormat="1" applyFont="1" applyFill="1" applyBorder="1" applyAlignment="1" applyProtection="1">
      <alignment/>
      <protection locked="0"/>
    </xf>
    <xf numFmtId="3" fontId="17" fillId="0" borderId="71" xfId="0" applyNumberFormat="1" applyFont="1" applyFill="1" applyBorder="1" applyAlignment="1" applyProtection="1">
      <alignment/>
      <protection locked="0"/>
    </xf>
    <xf numFmtId="3" fontId="17" fillId="0" borderId="72" xfId="0" applyNumberFormat="1" applyFont="1" applyFill="1" applyBorder="1" applyAlignment="1" applyProtection="1">
      <alignment/>
      <protection locked="0"/>
    </xf>
    <xf numFmtId="3" fontId="17" fillId="0" borderId="73" xfId="0" applyNumberFormat="1" applyFont="1" applyFill="1" applyBorder="1" applyAlignment="1" applyProtection="1">
      <alignment/>
      <protection locked="0"/>
    </xf>
    <xf numFmtId="0" fontId="6" fillId="0" borderId="21" xfId="0" applyFont="1" applyFill="1" applyBorder="1" applyAlignment="1" applyProtection="1">
      <alignment horizontal="justify"/>
      <protection/>
    </xf>
    <xf numFmtId="0" fontId="9" fillId="0" borderId="74"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77" xfId="0" applyFont="1" applyFill="1" applyBorder="1" applyAlignment="1" applyProtection="1">
      <alignment horizontal="right"/>
      <protection/>
    </xf>
    <xf numFmtId="0" fontId="6" fillId="0" borderId="14" xfId="0" applyFont="1" applyFill="1" applyBorder="1" applyAlignment="1" applyProtection="1">
      <alignment horizontal="center" vertical="center"/>
      <protection/>
    </xf>
    <xf numFmtId="0" fontId="6" fillId="0" borderId="78" xfId="0" applyFont="1" applyFill="1" applyBorder="1" applyAlignment="1">
      <alignment horizontal="center" vertical="center"/>
    </xf>
    <xf numFmtId="0" fontId="6" fillId="0" borderId="79" xfId="0" applyFont="1" applyFill="1" applyBorder="1" applyAlignment="1" applyProtection="1">
      <alignment horizontal="center"/>
      <protection/>
    </xf>
    <xf numFmtId="3" fontId="6" fillId="0" borderId="21" xfId="75" applyNumberFormat="1" applyFont="1" applyFill="1" applyBorder="1" applyProtection="1">
      <alignment/>
      <protection locked="0"/>
    </xf>
    <xf numFmtId="3" fontId="6" fillId="0" borderId="80" xfId="75" applyNumberFormat="1" applyFont="1" applyFill="1" applyBorder="1" applyProtection="1">
      <alignment/>
      <protection locked="0"/>
    </xf>
    <xf numFmtId="3" fontId="6" fillId="0" borderId="66" xfId="75" applyNumberFormat="1" applyFont="1" applyFill="1" applyBorder="1" applyProtection="1">
      <alignment/>
      <protection locked="0"/>
    </xf>
    <xf numFmtId="3" fontId="6" fillId="0" borderId="21" xfId="76" applyNumberFormat="1" applyFont="1" applyFill="1" applyBorder="1" applyProtection="1">
      <alignment/>
      <protection locked="0"/>
    </xf>
    <xf numFmtId="3" fontId="6" fillId="0" borderId="80" xfId="76" applyNumberFormat="1" applyFont="1" applyFill="1" applyBorder="1" applyProtection="1">
      <alignment/>
      <protection locked="0"/>
    </xf>
    <xf numFmtId="3" fontId="6" fillId="0" borderId="66" xfId="76" applyNumberFormat="1" applyFont="1" applyFill="1" applyBorder="1" applyProtection="1">
      <alignment/>
      <protection locked="0"/>
    </xf>
    <xf numFmtId="0" fontId="6" fillId="0" borderId="81" xfId="0" applyFont="1" applyFill="1" applyBorder="1" applyAlignment="1" applyProtection="1">
      <alignment horizontal="center"/>
      <protection/>
    </xf>
    <xf numFmtId="3" fontId="6" fillId="0" borderId="49" xfId="75" applyNumberFormat="1" applyFont="1" applyFill="1" applyBorder="1" applyProtection="1">
      <alignment/>
      <protection locked="0"/>
    </xf>
    <xf numFmtId="3" fontId="6" fillId="0" borderId="82" xfId="75" applyNumberFormat="1" applyFont="1" applyFill="1" applyBorder="1" applyProtection="1">
      <alignment/>
      <protection locked="0"/>
    </xf>
    <xf numFmtId="3" fontId="6" fillId="0" borderId="83" xfId="75" applyNumberFormat="1" applyFont="1" applyFill="1" applyBorder="1" applyProtection="1">
      <alignment/>
      <protection locked="0"/>
    </xf>
    <xf numFmtId="3" fontId="6" fillId="0" borderId="66" xfId="77" applyNumberFormat="1" applyFont="1" applyFill="1" applyBorder="1" applyProtection="1">
      <alignment/>
      <protection locked="0"/>
    </xf>
    <xf numFmtId="3" fontId="6" fillId="0" borderId="49" xfId="77" applyNumberFormat="1" applyFont="1" applyFill="1" applyBorder="1" applyProtection="1">
      <alignment/>
      <protection locked="0"/>
    </xf>
    <xf numFmtId="3" fontId="6" fillId="0" borderId="80" xfId="77" applyNumberFormat="1" applyFont="1" applyFill="1" applyBorder="1" applyProtection="1">
      <alignment/>
      <protection locked="0"/>
    </xf>
    <xf numFmtId="3" fontId="6" fillId="0" borderId="59" xfId="77" applyNumberFormat="1" applyFont="1" applyFill="1" applyBorder="1" applyProtection="1">
      <alignment/>
      <protection locked="0"/>
    </xf>
    <xf numFmtId="3" fontId="6" fillId="0" borderId="82" xfId="77" applyNumberFormat="1" applyFont="1" applyFill="1" applyBorder="1" applyProtection="1">
      <alignment/>
      <protection locked="0"/>
    </xf>
    <xf numFmtId="3" fontId="6" fillId="0" borderId="20" xfId="77" applyNumberFormat="1" applyFont="1" applyFill="1" applyBorder="1" applyProtection="1">
      <alignment/>
      <protection locked="0"/>
    </xf>
    <xf numFmtId="3" fontId="6" fillId="0" borderId="84" xfId="77" applyNumberFormat="1" applyFont="1" applyFill="1" applyBorder="1" applyProtection="1">
      <alignment/>
      <protection locked="0"/>
    </xf>
    <xf numFmtId="0" fontId="20" fillId="0" borderId="33" xfId="0" applyFont="1" applyFill="1" applyBorder="1" applyAlignment="1" applyProtection="1">
      <alignment horizontal="center"/>
      <protection/>
    </xf>
    <xf numFmtId="0" fontId="20" fillId="0" borderId="34" xfId="0" applyFont="1" applyFill="1" applyBorder="1" applyAlignment="1" applyProtection="1">
      <alignment horizontal="center"/>
      <protection/>
    </xf>
    <xf numFmtId="0" fontId="23" fillId="0" borderId="85" xfId="0" applyFont="1" applyFill="1" applyBorder="1" applyAlignment="1" applyProtection="1">
      <alignment horizontal="center" textRotation="255" wrapText="1"/>
      <protection/>
    </xf>
    <xf numFmtId="0" fontId="23" fillId="0" borderId="86" xfId="0" applyFont="1" applyFill="1" applyBorder="1" applyAlignment="1" applyProtection="1">
      <alignment horizontal="center" textRotation="255" wrapText="1"/>
      <protection/>
    </xf>
    <xf numFmtId="0" fontId="23" fillId="0" borderId="86" xfId="0" applyFont="1" applyFill="1" applyBorder="1" applyAlignment="1" applyProtection="1" quotePrefix="1">
      <alignment horizontal="center" textRotation="255" wrapText="1"/>
      <protection/>
    </xf>
    <xf numFmtId="3" fontId="6" fillId="0" borderId="82" xfId="0" applyNumberFormat="1" applyFont="1" applyBorder="1" applyAlignment="1" applyProtection="1">
      <alignment/>
      <protection locked="0"/>
    </xf>
    <xf numFmtId="3" fontId="6" fillId="0" borderId="82" xfId="0" applyNumberFormat="1" applyFont="1" applyFill="1" applyBorder="1" applyAlignment="1" applyProtection="1">
      <alignment/>
      <protection locked="0"/>
    </xf>
    <xf numFmtId="3" fontId="6" fillId="0" borderId="52" xfId="0" applyNumberFormat="1" applyFont="1" applyFill="1" applyBorder="1" applyAlignment="1" applyProtection="1">
      <alignment/>
      <protection locked="0"/>
    </xf>
    <xf numFmtId="3" fontId="6" fillId="0" borderId="49" xfId="0" applyNumberFormat="1" applyFont="1" applyFill="1" applyBorder="1" applyAlignment="1" applyProtection="1">
      <alignment/>
      <protection locked="0"/>
    </xf>
    <xf numFmtId="3" fontId="6" fillId="0" borderId="83" xfId="0" applyNumberFormat="1" applyFont="1" applyFill="1" applyBorder="1" applyAlignment="1" applyProtection="1">
      <alignment/>
      <protection locked="0"/>
    </xf>
    <xf numFmtId="3" fontId="6" fillId="0" borderId="37" xfId="0" applyNumberFormat="1" applyFont="1" applyFill="1" applyBorder="1" applyAlignment="1" applyProtection="1">
      <alignment/>
      <protection locked="0"/>
    </xf>
    <xf numFmtId="3" fontId="6" fillId="0" borderId="60" xfId="0" applyNumberFormat="1" applyFont="1" applyFill="1" applyBorder="1" applyAlignment="1" applyProtection="1">
      <alignment/>
      <protection locked="0"/>
    </xf>
    <xf numFmtId="3" fontId="6" fillId="0" borderId="79" xfId="0" applyNumberFormat="1" applyFont="1" applyFill="1" applyBorder="1" applyAlignment="1" applyProtection="1">
      <alignment/>
      <protection locked="0"/>
    </xf>
    <xf numFmtId="3" fontId="6" fillId="0" borderId="66" xfId="78" applyNumberFormat="1" applyFont="1" applyFill="1" applyBorder="1" applyProtection="1">
      <alignment/>
      <protection locked="0"/>
    </xf>
    <xf numFmtId="3" fontId="6" fillId="0" borderId="49" xfId="78" applyNumberFormat="1" applyFont="1" applyFill="1" applyBorder="1" applyProtection="1">
      <alignment/>
      <protection locked="0"/>
    </xf>
    <xf numFmtId="3" fontId="6" fillId="0" borderId="80" xfId="78" applyNumberFormat="1" applyFont="1" applyFill="1" applyBorder="1" applyProtection="1">
      <alignment/>
      <protection locked="0"/>
    </xf>
    <xf numFmtId="3" fontId="6" fillId="0" borderId="59" xfId="78" applyNumberFormat="1" applyFont="1" applyFill="1" applyBorder="1" applyProtection="1">
      <alignment/>
      <protection locked="0"/>
    </xf>
    <xf numFmtId="3" fontId="6" fillId="0" borderId="82" xfId="78" applyNumberFormat="1" applyFont="1" applyFill="1" applyBorder="1" applyProtection="1">
      <alignment/>
      <protection locked="0"/>
    </xf>
    <xf numFmtId="3" fontId="6" fillId="0" borderId="81" xfId="78" applyNumberFormat="1" applyFont="1" applyFill="1" applyBorder="1" applyProtection="1">
      <alignment/>
      <protection locked="0"/>
    </xf>
    <xf numFmtId="0" fontId="9" fillId="0" borderId="11" xfId="79" applyFont="1" applyFill="1" applyBorder="1" applyAlignment="1">
      <alignment horizontal="center"/>
      <protection/>
    </xf>
    <xf numFmtId="0" fontId="9" fillId="0" borderId="87" xfId="0" applyFont="1" applyFill="1" applyBorder="1" applyAlignment="1" applyProtection="1">
      <alignment horizontal="centerContinuous" vertical="center"/>
      <protection/>
    </xf>
    <xf numFmtId="0" fontId="9" fillId="0" borderId="30" xfId="0" applyFont="1" applyFill="1" applyBorder="1" applyAlignment="1" applyProtection="1">
      <alignment horizontal="centerContinuous" vertical="center" wrapText="1"/>
      <protection/>
    </xf>
    <xf numFmtId="0" fontId="9" fillId="0" borderId="44" xfId="0" applyFont="1" applyFill="1" applyBorder="1" applyAlignment="1">
      <alignment horizontal="centerContinuous" vertical="center" wrapText="1"/>
    </xf>
    <xf numFmtId="0" fontId="20" fillId="0" borderId="34" xfId="0" applyFont="1" applyFill="1" applyBorder="1" applyAlignment="1" applyProtection="1">
      <alignment/>
      <protection/>
    </xf>
    <xf numFmtId="0" fontId="20" fillId="0" borderId="33" xfId="0" applyFont="1" applyFill="1" applyBorder="1" applyAlignment="1" applyProtection="1">
      <alignment horizontal="center"/>
      <protection/>
    </xf>
    <xf numFmtId="0" fontId="20" fillId="0" borderId="34" xfId="0" applyFont="1" applyFill="1" applyBorder="1" applyAlignment="1" applyProtection="1">
      <alignment horizontal="center"/>
      <protection/>
    </xf>
    <xf numFmtId="0" fontId="20" fillId="0" borderId="35" xfId="0" applyFont="1" applyFill="1" applyBorder="1" applyAlignment="1" applyProtection="1">
      <alignment horizontal="center"/>
      <protection/>
    </xf>
    <xf numFmtId="0" fontId="20" fillId="0" borderId="88" xfId="0" applyFont="1" applyFill="1" applyBorder="1" applyAlignment="1" applyProtection="1">
      <alignment horizontal="center"/>
      <protection/>
    </xf>
    <xf numFmtId="0" fontId="20" fillId="0" borderId="0" xfId="0" applyFont="1" applyAlignment="1">
      <alignment/>
    </xf>
    <xf numFmtId="0" fontId="6" fillId="0" borderId="15" xfId="0" applyFont="1" applyBorder="1" applyAlignment="1">
      <alignment/>
    </xf>
    <xf numFmtId="0" fontId="6" fillId="0" borderId="38" xfId="0" applyFont="1" applyBorder="1" applyAlignment="1">
      <alignment/>
    </xf>
    <xf numFmtId="3" fontId="6" fillId="0" borderId="89" xfId="80" applyNumberFormat="1" applyFont="1" applyFill="1" applyBorder="1" applyProtection="1">
      <alignment/>
      <protection locked="0"/>
    </xf>
    <xf numFmtId="3" fontId="6" fillId="0" borderId="81" xfId="80" applyNumberFormat="1" applyFont="1" applyFill="1" applyBorder="1" applyProtection="1">
      <alignment/>
      <protection locked="0"/>
    </xf>
    <xf numFmtId="3" fontId="6" fillId="0" borderId="83" xfId="80" applyNumberFormat="1" applyFont="1" applyFill="1" applyBorder="1" applyProtection="1">
      <alignment/>
      <protection locked="0"/>
    </xf>
    <xf numFmtId="3" fontId="6" fillId="0" borderId="79" xfId="80" applyNumberFormat="1" applyFont="1" applyFill="1" applyBorder="1" applyProtection="1">
      <alignment/>
      <protection locked="0"/>
    </xf>
    <xf numFmtId="0" fontId="19" fillId="0" borderId="90" xfId="80" applyFont="1" applyFill="1" applyBorder="1" applyAlignment="1" applyProtection="1">
      <alignment horizontal="centerContinuous" vertical="center"/>
      <protection/>
    </xf>
    <xf numFmtId="0" fontId="14" fillId="0" borderId="10" xfId="79" applyFont="1" applyFill="1" applyBorder="1" applyAlignment="1">
      <alignment horizontal="centerContinuous"/>
      <protection/>
    </xf>
    <xf numFmtId="0" fontId="14" fillId="0" borderId="91" xfId="78" applyFont="1" applyFill="1" applyBorder="1" applyAlignment="1" applyProtection="1">
      <alignment horizontal="center" vertical="center"/>
      <protection/>
    </xf>
    <xf numFmtId="0" fontId="14" fillId="0" borderId="91" xfId="77" applyFont="1" applyFill="1" applyBorder="1" applyAlignment="1" applyProtection="1">
      <alignment horizontal="center" vertical="center"/>
      <protection/>
    </xf>
    <xf numFmtId="0" fontId="14" fillId="0" borderId="91" xfId="76" applyFont="1" applyFill="1" applyBorder="1" applyAlignment="1" applyProtection="1">
      <alignment horizontal="center" vertical="center"/>
      <protection/>
    </xf>
    <xf numFmtId="0" fontId="14" fillId="0" borderId="91" xfId="75" applyFont="1" applyFill="1" applyBorder="1" applyAlignment="1" applyProtection="1">
      <alignment horizontal="center" vertical="center"/>
      <protection/>
    </xf>
    <xf numFmtId="0" fontId="14" fillId="0" borderId="24" xfId="75" applyFont="1" applyFill="1" applyBorder="1" applyAlignment="1" applyProtection="1">
      <alignment horizontal="center" vertical="center"/>
      <protection/>
    </xf>
    <xf numFmtId="0" fontId="15" fillId="0" borderId="17" xfId="75" applyFont="1" applyFill="1" applyBorder="1" applyAlignment="1">
      <alignment horizontal="center"/>
      <protection/>
    </xf>
    <xf numFmtId="0" fontId="15" fillId="0" borderId="92" xfId="0" applyFont="1" applyFill="1" applyBorder="1" applyAlignment="1" applyProtection="1">
      <alignment horizontal="center"/>
      <protection/>
    </xf>
    <xf numFmtId="0" fontId="15" fillId="0" borderId="93" xfId="0" applyFont="1" applyFill="1" applyBorder="1" applyAlignment="1" applyProtection="1">
      <alignment horizontal="center"/>
      <protection/>
    </xf>
    <xf numFmtId="0" fontId="20" fillId="0" borderId="94" xfId="80" applyFont="1" applyFill="1" applyBorder="1" applyAlignment="1" applyProtection="1">
      <alignment horizontal="center"/>
      <protection/>
    </xf>
    <xf numFmtId="0" fontId="20" fillId="0" borderId="28" xfId="80" applyFont="1" applyFill="1" applyBorder="1" applyAlignment="1" applyProtection="1">
      <alignment horizontal="center"/>
      <protection/>
    </xf>
    <xf numFmtId="0" fontId="20" fillId="0" borderId="0" xfId="80" applyFont="1">
      <alignment/>
      <protection/>
    </xf>
    <xf numFmtId="0" fontId="20" fillId="0" borderId="17" xfId="0" applyFont="1" applyFill="1" applyBorder="1" applyAlignment="1">
      <alignment horizontal="center"/>
    </xf>
    <xf numFmtId="0" fontId="27" fillId="0" borderId="33" xfId="0" applyFont="1" applyFill="1" applyBorder="1" applyAlignment="1" applyProtection="1">
      <alignment horizontal="center"/>
      <protection/>
    </xf>
    <xf numFmtId="0" fontId="27" fillId="0" borderId="95" xfId="0" applyFont="1" applyFill="1" applyBorder="1" applyAlignment="1" applyProtection="1">
      <alignment horizontal="center"/>
      <protection/>
    </xf>
    <xf numFmtId="0" fontId="9" fillId="0" borderId="96" xfId="0" applyFont="1" applyFill="1" applyBorder="1" applyAlignment="1" applyProtection="1">
      <alignment horizontal="center" vertical="center"/>
      <protection/>
    </xf>
    <xf numFmtId="0" fontId="9" fillId="0" borderId="97" xfId="0" applyFont="1" applyFill="1" applyBorder="1" applyAlignment="1" applyProtection="1">
      <alignment horizontal="centerContinuous" vertical="center" wrapText="1"/>
      <protection/>
    </xf>
    <xf numFmtId="0" fontId="5" fillId="0" borderId="98" xfId="80" applyFont="1" applyBorder="1" applyAlignment="1" applyProtection="1">
      <alignment horizontal="left" vertical="top"/>
      <protection/>
    </xf>
    <xf numFmtId="0" fontId="9" fillId="0" borderId="54" xfId="75" applyFont="1" applyBorder="1" applyAlignment="1">
      <alignment horizontal="right"/>
      <protection/>
    </xf>
    <xf numFmtId="0" fontId="9" fillId="0" borderId="77" xfId="0" applyFont="1" applyFill="1" applyBorder="1" applyAlignment="1" applyProtection="1">
      <alignment horizontal="right" vertical="center"/>
      <protection/>
    </xf>
    <xf numFmtId="0" fontId="9" fillId="0" borderId="70" xfId="0" applyFont="1" applyFill="1" applyBorder="1" applyAlignment="1">
      <alignment horizontal="centerContinuous" vertical="center"/>
    </xf>
    <xf numFmtId="0" fontId="20" fillId="0" borderId="35" xfId="0" applyFont="1" applyFill="1" applyBorder="1" applyAlignment="1" applyProtection="1">
      <alignment horizontal="center"/>
      <protection/>
    </xf>
    <xf numFmtId="0" fontId="6" fillId="0" borderId="11" xfId="80" applyFont="1" applyBorder="1" applyAlignment="1">
      <alignment horizontal="center"/>
      <protection/>
    </xf>
    <xf numFmtId="0" fontId="9" fillId="0" borderId="15" xfId="80" applyFont="1" applyBorder="1" applyAlignment="1">
      <alignment horizontal="centerContinuous" vertical="center"/>
      <protection/>
    </xf>
    <xf numFmtId="0" fontId="9" fillId="0" borderId="38" xfId="80" applyFont="1" applyBorder="1" applyAlignment="1">
      <alignment horizontal="centerContinuous" vertical="center"/>
      <protection/>
    </xf>
    <xf numFmtId="0" fontId="9" fillId="0" borderId="15" xfId="75" applyFont="1" applyFill="1" applyBorder="1" applyAlignment="1">
      <alignment horizontal="centerContinuous" vertical="center"/>
      <protection/>
    </xf>
    <xf numFmtId="0" fontId="8" fillId="0" borderId="13" xfId="0" applyFont="1" applyFill="1" applyBorder="1" applyAlignment="1" applyProtection="1">
      <alignment horizontal="left" vertical="center" wrapText="1"/>
      <protection/>
    </xf>
    <xf numFmtId="0" fontId="6" fillId="0" borderId="98" xfId="0" applyFont="1" applyFill="1" applyBorder="1" applyAlignment="1">
      <alignment horizontal="centerContinuous"/>
    </xf>
    <xf numFmtId="0" fontId="8" fillId="0" borderId="99" xfId="0" applyFont="1" applyFill="1" applyBorder="1" applyAlignment="1" applyProtection="1">
      <alignment horizontal="centerContinuous" vertical="center" wrapText="1"/>
      <protection/>
    </xf>
    <xf numFmtId="0" fontId="9" fillId="0" borderId="28" xfId="0" applyFont="1" applyFill="1" applyBorder="1" applyAlignment="1" applyProtection="1">
      <alignment horizontal="center" vertical="center" wrapText="1"/>
      <protection/>
    </xf>
    <xf numFmtId="0" fontId="8" fillId="0" borderId="91" xfId="0" applyFont="1" applyFill="1" applyBorder="1" applyAlignment="1" applyProtection="1">
      <alignment horizontal="centerContinuous" vertical="center" wrapText="1"/>
      <protection/>
    </xf>
    <xf numFmtId="0" fontId="8" fillId="0" borderId="100" xfId="0" applyFont="1" applyFill="1" applyBorder="1" applyAlignment="1">
      <alignment horizontal="center" vertical="center"/>
    </xf>
    <xf numFmtId="0" fontId="9" fillId="0" borderId="95" xfId="0" applyFont="1" applyFill="1" applyBorder="1" applyAlignment="1" applyProtection="1">
      <alignment horizontal="center" wrapText="1"/>
      <protection/>
    </xf>
    <xf numFmtId="0" fontId="10" fillId="0" borderId="0" xfId="0" applyFont="1" applyBorder="1" applyAlignment="1" applyProtection="1">
      <alignment horizontal="left" vertical="top"/>
      <protection/>
    </xf>
    <xf numFmtId="0" fontId="5" fillId="0" borderId="0" xfId="0" applyFont="1" applyAlignment="1">
      <alignment horizontal="right" vertical="top"/>
    </xf>
    <xf numFmtId="0" fontId="9" fillId="0" borderId="15" xfId="0" applyFont="1" applyFill="1" applyBorder="1" applyAlignment="1" applyProtection="1">
      <alignment horizontal="centerContinuous" vertical="center"/>
      <protection/>
    </xf>
    <xf numFmtId="0" fontId="22" fillId="0" borderId="0" xfId="0" applyFont="1" applyAlignment="1">
      <alignment horizontal="center"/>
    </xf>
    <xf numFmtId="0" fontId="10" fillId="0" borderId="0" xfId="0" applyFont="1" applyBorder="1" applyAlignment="1" applyProtection="1">
      <alignment vertical="top" wrapText="1"/>
      <protection/>
    </xf>
    <xf numFmtId="0" fontId="25" fillId="0" borderId="0" xfId="0" applyFont="1" applyBorder="1" applyAlignment="1">
      <alignment vertical="center" wrapText="1"/>
    </xf>
    <xf numFmtId="0" fontId="28" fillId="0" borderId="0" xfId="0" applyFont="1" applyAlignment="1">
      <alignment/>
    </xf>
    <xf numFmtId="0" fontId="6" fillId="0" borderId="37" xfId="0" applyFont="1" applyFill="1" applyBorder="1" applyAlignment="1" applyProtection="1">
      <alignment horizontal="center"/>
      <protection/>
    </xf>
    <xf numFmtId="0" fontId="22" fillId="0" borderId="0" xfId="0" applyFont="1" applyAlignment="1">
      <alignment horizontal="left"/>
    </xf>
    <xf numFmtId="38" fontId="6" fillId="0" borderId="52" xfId="47" applyNumberFormat="1" applyFont="1" applyBorder="1" applyAlignment="1">
      <alignment/>
    </xf>
    <xf numFmtId="38" fontId="6" fillId="0" borderId="37" xfId="47" applyNumberFormat="1" applyFont="1" applyBorder="1" applyAlignment="1">
      <alignment/>
    </xf>
    <xf numFmtId="38" fontId="6" fillId="0" borderId="64" xfId="47" applyNumberFormat="1" applyFont="1" applyBorder="1" applyAlignment="1">
      <alignment/>
    </xf>
    <xf numFmtId="0" fontId="6" fillId="0" borderId="37" xfId="0" applyFont="1" applyBorder="1" applyAlignment="1">
      <alignment horizontal="center"/>
    </xf>
    <xf numFmtId="0" fontId="6" fillId="0" borderId="52" xfId="0" applyFont="1" applyFill="1" applyBorder="1" applyAlignment="1" applyProtection="1">
      <alignment horizontal="center"/>
      <protection/>
    </xf>
    <xf numFmtId="3" fontId="6" fillId="0" borderId="66" xfId="0" applyNumberFormat="1" applyFont="1" applyFill="1" applyBorder="1" applyAlignment="1" applyProtection="1">
      <alignment/>
      <protection locked="0"/>
    </xf>
    <xf numFmtId="3" fontId="6" fillId="24" borderId="66" xfId="0" applyNumberFormat="1" applyFont="1" applyFill="1" applyBorder="1" applyAlignment="1" applyProtection="1">
      <alignment/>
      <protection locked="0"/>
    </xf>
    <xf numFmtId="3" fontId="6" fillId="24" borderId="49" xfId="0" applyNumberFormat="1" applyFont="1" applyFill="1" applyBorder="1" applyAlignment="1" applyProtection="1">
      <alignment/>
      <protection locked="0"/>
    </xf>
    <xf numFmtId="3" fontId="6" fillId="24" borderId="79" xfId="0" applyNumberFormat="1" applyFont="1" applyFill="1" applyBorder="1" applyAlignment="1" applyProtection="1">
      <alignment/>
      <protection locked="0"/>
    </xf>
    <xf numFmtId="0" fontId="34" fillId="0" borderId="98" xfId="0" applyFont="1" applyBorder="1" applyAlignment="1">
      <alignment horizontal="right" vertical="center" wrapText="1"/>
    </xf>
    <xf numFmtId="3" fontId="6" fillId="0" borderId="19" xfId="79" applyNumberFormat="1" applyFont="1" applyFill="1" applyBorder="1" applyAlignment="1" applyProtection="1">
      <alignment/>
      <protection locked="0"/>
    </xf>
    <xf numFmtId="3" fontId="6" fillId="0" borderId="101" xfId="79" applyNumberFormat="1" applyFont="1" applyFill="1" applyBorder="1" applyAlignment="1" applyProtection="1">
      <alignment/>
      <protection locked="0"/>
    </xf>
    <xf numFmtId="3" fontId="6" fillId="0" borderId="81" xfId="79" applyNumberFormat="1" applyFont="1" applyFill="1" applyBorder="1" applyAlignment="1" applyProtection="1">
      <alignment/>
      <protection locked="0"/>
    </xf>
    <xf numFmtId="3" fontId="6" fillId="0" borderId="102" xfId="79" applyNumberFormat="1" applyFont="1" applyFill="1" applyBorder="1" applyAlignment="1" applyProtection="1">
      <alignment/>
      <protection locked="0"/>
    </xf>
    <xf numFmtId="3" fontId="6" fillId="0" borderId="20" xfId="79" applyNumberFormat="1" applyFont="1" applyFill="1" applyBorder="1" applyAlignment="1" applyProtection="1">
      <alignment/>
      <protection locked="0"/>
    </xf>
    <xf numFmtId="3" fontId="6" fillId="0" borderId="66" xfId="79" applyNumberFormat="1" applyFont="1" applyFill="1" applyBorder="1" applyAlignment="1" applyProtection="1">
      <alignment/>
      <protection locked="0"/>
    </xf>
    <xf numFmtId="3" fontId="6" fillId="0" borderId="59" xfId="79" applyNumberFormat="1" applyFont="1" applyFill="1" applyBorder="1" applyAlignment="1" applyProtection="1">
      <alignment/>
      <protection locked="0"/>
    </xf>
    <xf numFmtId="3" fontId="6" fillId="0" borderId="49" xfId="79" applyNumberFormat="1" applyFont="1" applyFill="1" applyBorder="1" applyAlignment="1" applyProtection="1">
      <alignment/>
      <protection locked="0"/>
    </xf>
    <xf numFmtId="3" fontId="6" fillId="0" borderId="82" xfId="79" applyNumberFormat="1" applyFont="1" applyFill="1" applyBorder="1" applyAlignment="1" applyProtection="1">
      <alignment/>
      <protection locked="0"/>
    </xf>
    <xf numFmtId="3" fontId="6" fillId="0" borderId="84" xfId="79" applyNumberFormat="1" applyFont="1" applyFill="1" applyBorder="1" applyAlignment="1" applyProtection="1">
      <alignment/>
      <protection locked="0"/>
    </xf>
    <xf numFmtId="3" fontId="6" fillId="24" borderId="37" xfId="0" applyNumberFormat="1" applyFont="1" applyFill="1" applyBorder="1" applyAlignment="1">
      <alignment/>
    </xf>
    <xf numFmtId="3" fontId="6" fillId="0" borderId="37" xfId="0" applyNumberFormat="1" applyFont="1" applyFill="1" applyBorder="1" applyAlignment="1">
      <alignment/>
    </xf>
    <xf numFmtId="40" fontId="6" fillId="0" borderId="37" xfId="47" applyFont="1" applyBorder="1" applyAlignment="1">
      <alignment/>
    </xf>
    <xf numFmtId="38" fontId="6" fillId="0" borderId="37" xfId="47" applyNumberFormat="1" applyFont="1" applyBorder="1" applyAlignment="1">
      <alignment/>
    </xf>
    <xf numFmtId="4" fontId="6" fillId="0" borderId="37" xfId="0" applyNumberFormat="1" applyFont="1" applyBorder="1" applyAlignment="1">
      <alignment/>
    </xf>
    <xf numFmtId="10" fontId="6" fillId="0" borderId="37" xfId="83" applyNumberFormat="1" applyFont="1" applyBorder="1" applyAlignment="1">
      <alignment/>
    </xf>
    <xf numFmtId="0" fontId="6" fillId="0" borderId="103" xfId="0" applyFont="1" applyBorder="1" applyAlignment="1">
      <alignment horizontal="center" vertical="center" wrapText="1"/>
    </xf>
    <xf numFmtId="0" fontId="9" fillId="0" borderId="0" xfId="0" applyFont="1" applyAlignment="1">
      <alignment/>
    </xf>
    <xf numFmtId="0" fontId="10" fillId="0" borderId="0" xfId="0" applyFont="1" applyBorder="1" applyAlignment="1" applyProtection="1">
      <alignment horizontal="left" vertical="top" wrapText="1"/>
      <protection/>
    </xf>
    <xf numFmtId="173" fontId="35" fillId="0" borderId="0" xfId="72" applyAlignment="1">
      <alignment vertical="center"/>
      <protection/>
    </xf>
    <xf numFmtId="173" fontId="36" fillId="0" borderId="0" xfId="72" applyFont="1" applyAlignment="1">
      <alignment vertical="center"/>
      <protection/>
    </xf>
    <xf numFmtId="173" fontId="35" fillId="0" borderId="0" xfId="72" applyFill="1" applyAlignment="1">
      <alignment vertical="center"/>
      <protection/>
    </xf>
    <xf numFmtId="173" fontId="17" fillId="0" borderId="0" xfId="72" applyFont="1" applyAlignment="1" applyProtection="1">
      <alignment horizontal="left" vertical="center"/>
      <protection/>
    </xf>
    <xf numFmtId="173" fontId="6" fillId="0" borderId="0" xfId="72" applyFont="1" applyAlignment="1" applyProtection="1">
      <alignment horizontal="left" vertical="top"/>
      <protection/>
    </xf>
    <xf numFmtId="173" fontId="40" fillId="0" borderId="0" xfId="72" applyFont="1" applyAlignment="1">
      <alignment vertical="top"/>
      <protection/>
    </xf>
    <xf numFmtId="173" fontId="40" fillId="0" borderId="0" xfId="72" applyFont="1" applyAlignment="1">
      <alignment vertical="center"/>
      <protection/>
    </xf>
    <xf numFmtId="173" fontId="35" fillId="0" borderId="0" xfId="74" applyNumberFormat="1" applyFont="1" applyAlignment="1">
      <alignment vertical="center"/>
      <protection/>
    </xf>
    <xf numFmtId="173" fontId="42" fillId="0" borderId="0" xfId="72" applyFont="1" applyAlignment="1">
      <alignment vertical="center"/>
      <protection/>
    </xf>
    <xf numFmtId="173" fontId="13" fillId="0" borderId="0" xfId="72" applyFont="1" applyAlignment="1" applyProtection="1">
      <alignment horizontal="left" vertical="center"/>
      <protection/>
    </xf>
    <xf numFmtId="0" fontId="15" fillId="0" borderId="81" xfId="0" applyFont="1" applyFill="1" applyBorder="1" applyAlignment="1" applyProtection="1">
      <alignment horizontal="center"/>
      <protection/>
    </xf>
    <xf numFmtId="0" fontId="15" fillId="0" borderId="49" xfId="0" applyFont="1" applyFill="1" applyBorder="1" applyAlignment="1" applyProtection="1">
      <alignment horizontal="center"/>
      <protection/>
    </xf>
    <xf numFmtId="0" fontId="15" fillId="0" borderId="49" xfId="0" applyFont="1" applyFill="1" applyBorder="1" applyAlignment="1" applyProtection="1" quotePrefix="1">
      <alignment horizontal="center"/>
      <protection/>
    </xf>
    <xf numFmtId="3" fontId="6" fillId="0" borderId="0" xfId="0" applyNumberFormat="1" applyFont="1" applyAlignment="1">
      <alignment horizontal="center"/>
    </xf>
    <xf numFmtId="3" fontId="6" fillId="0" borderId="0" xfId="0" applyNumberFormat="1" applyFont="1" applyAlignment="1">
      <alignment/>
    </xf>
    <xf numFmtId="4" fontId="44" fillId="0" borderId="37" xfId="0" applyNumberFormat="1" applyFont="1" applyBorder="1" applyAlignment="1">
      <alignment horizontal="center"/>
    </xf>
    <xf numFmtId="3" fontId="9" fillId="0" borderId="37" xfId="0" applyNumberFormat="1" applyFont="1" applyFill="1" applyBorder="1" applyAlignment="1">
      <alignment/>
    </xf>
    <xf numFmtId="0" fontId="9" fillId="0" borderId="37" xfId="0" applyFont="1" applyFill="1" applyBorder="1" applyAlignment="1">
      <alignment horizontal="center"/>
    </xf>
    <xf numFmtId="0" fontId="6" fillId="0" borderId="0" xfId="0" applyFont="1" applyBorder="1" applyAlignment="1" applyProtection="1">
      <alignment/>
      <protection/>
    </xf>
    <xf numFmtId="0" fontId="6" fillId="0" borderId="0" xfId="0" applyFont="1" applyAlignment="1" applyProtection="1">
      <alignment/>
      <protection/>
    </xf>
    <xf numFmtId="0" fontId="0" fillId="0" borderId="0" xfId="0" applyAlignment="1" applyProtection="1">
      <alignment/>
      <protection/>
    </xf>
    <xf numFmtId="0" fontId="6" fillId="0" borderId="40" xfId="0" applyFont="1" applyFill="1" applyBorder="1" applyAlignment="1">
      <alignment horizontal="centerContinuous"/>
    </xf>
    <xf numFmtId="0" fontId="6" fillId="0" borderId="104" xfId="0" applyFont="1" applyFill="1" applyBorder="1" applyAlignment="1">
      <alignment horizontal="center"/>
    </xf>
    <xf numFmtId="173" fontId="17" fillId="0" borderId="0" xfId="72" applyFont="1" applyAlignment="1" applyProtection="1">
      <alignment vertical="center"/>
      <protection/>
    </xf>
    <xf numFmtId="173" fontId="37" fillId="0" borderId="0" xfId="72" applyFont="1" applyAlignment="1" applyProtection="1">
      <alignment vertical="center"/>
      <protection/>
    </xf>
    <xf numFmtId="173" fontId="35" fillId="0" borderId="0" xfId="72" applyAlignment="1" applyProtection="1">
      <alignment vertical="center"/>
      <protection/>
    </xf>
    <xf numFmtId="173" fontId="17" fillId="0" borderId="0" xfId="72" applyFont="1" applyFill="1" applyBorder="1" applyAlignment="1" applyProtection="1">
      <alignment vertical="center"/>
      <protection/>
    </xf>
    <xf numFmtId="0" fontId="6" fillId="0" borderId="0" xfId="69" applyFont="1" applyAlignment="1" applyProtection="1">
      <alignment vertical="center"/>
      <protection/>
    </xf>
    <xf numFmtId="173" fontId="6" fillId="0" borderId="0" xfId="72" applyFont="1" applyAlignment="1" applyProtection="1">
      <alignment vertical="top"/>
      <protection/>
    </xf>
    <xf numFmtId="173" fontId="40" fillId="0" borderId="0" xfId="72" applyFont="1" applyAlignment="1" applyProtection="1">
      <alignment vertical="top"/>
      <protection/>
    </xf>
    <xf numFmtId="173" fontId="9" fillId="0" borderId="0" xfId="72" applyFont="1" applyAlignment="1" applyProtection="1">
      <alignment vertical="center"/>
      <protection/>
    </xf>
    <xf numFmtId="173" fontId="40" fillId="0" borderId="0" xfId="72" applyFont="1" applyAlignment="1" applyProtection="1">
      <alignment vertical="center"/>
      <protection/>
    </xf>
    <xf numFmtId="173" fontId="6" fillId="0" borderId="0" xfId="72" applyFont="1" applyAlignment="1" applyProtection="1">
      <alignment vertical="center"/>
      <protection/>
    </xf>
    <xf numFmtId="173" fontId="41" fillId="0" borderId="0" xfId="72" applyFont="1" applyAlignment="1" applyProtection="1">
      <alignment horizontal="left" vertical="center" wrapText="1"/>
      <protection/>
    </xf>
    <xf numFmtId="173" fontId="17" fillId="0" borderId="0" xfId="72" applyFont="1" applyFill="1" applyAlignment="1" applyProtection="1">
      <alignment vertical="center"/>
      <protection/>
    </xf>
    <xf numFmtId="0" fontId="39" fillId="0" borderId="0" xfId="69" applyFont="1" applyFill="1" applyBorder="1" applyAlignment="1" applyProtection="1">
      <alignment horizontal="left" vertical="center"/>
      <protection/>
    </xf>
    <xf numFmtId="0" fontId="6" fillId="0" borderId="0" xfId="69" applyFont="1" applyFill="1" applyAlignment="1" applyProtection="1">
      <alignment vertical="center"/>
      <protection/>
    </xf>
    <xf numFmtId="0" fontId="24" fillId="0" borderId="0" xfId="69" applyFont="1" applyFill="1" applyBorder="1" applyAlignment="1" applyProtection="1">
      <alignment horizontal="center" vertical="center"/>
      <protection/>
    </xf>
    <xf numFmtId="173" fontId="13" fillId="0" borderId="0" xfId="74" applyNumberFormat="1" applyFont="1" applyAlignment="1" applyProtection="1">
      <alignment vertical="center"/>
      <protection/>
    </xf>
    <xf numFmtId="173" fontId="22" fillId="0" borderId="0" xfId="74" applyNumberFormat="1" applyFont="1" applyAlignment="1" applyProtection="1">
      <alignment vertical="center"/>
      <protection/>
    </xf>
    <xf numFmtId="173" fontId="17" fillId="0" borderId="0" xfId="74" applyNumberFormat="1" applyFont="1" applyAlignment="1" applyProtection="1">
      <alignment vertical="center"/>
      <protection/>
    </xf>
    <xf numFmtId="0" fontId="8" fillId="0" borderId="0" xfId="0" applyFont="1" applyAlignment="1" applyProtection="1">
      <alignment horizontal="center" vertical="top"/>
      <protection/>
    </xf>
    <xf numFmtId="173" fontId="17" fillId="0" borderId="0" xfId="74" applyNumberFormat="1" applyFont="1" applyBorder="1" applyAlignment="1" applyProtection="1">
      <alignment vertical="center"/>
      <protection/>
    </xf>
    <xf numFmtId="173" fontId="42" fillId="0" borderId="0" xfId="72" applyFont="1" applyAlignment="1" applyProtection="1">
      <alignment vertical="center"/>
      <protection/>
    </xf>
    <xf numFmtId="173" fontId="17" fillId="0" borderId="0" xfId="72" applyFont="1" applyBorder="1" applyAlignment="1" applyProtection="1">
      <alignment vertical="center"/>
      <protection/>
    </xf>
    <xf numFmtId="0" fontId="17" fillId="0" borderId="0" xfId="74" applyProtection="1">
      <alignment/>
      <protection/>
    </xf>
    <xf numFmtId="173" fontId="8" fillId="0" borderId="37" xfId="72" applyFont="1" applyFill="1" applyBorder="1" applyAlignment="1" applyProtection="1">
      <alignment horizontal="center" vertical="center"/>
      <protection/>
    </xf>
    <xf numFmtId="173" fontId="35" fillId="0" borderId="0" xfId="72" applyFont="1" applyAlignment="1" applyProtection="1">
      <alignment vertical="center"/>
      <protection/>
    </xf>
    <xf numFmtId="0" fontId="0" fillId="0" borderId="0" xfId="70" applyAlignment="1" applyProtection="1">
      <alignment vertical="center"/>
      <protection/>
    </xf>
    <xf numFmtId="173" fontId="43" fillId="0" borderId="0" xfId="72" applyFont="1" applyAlignment="1" applyProtection="1">
      <alignment vertical="center"/>
      <protection/>
    </xf>
    <xf numFmtId="0" fontId="17" fillId="0" borderId="0" xfId="74" applyAlignment="1" applyProtection="1">
      <alignment vertical="center"/>
      <protection/>
    </xf>
    <xf numFmtId="0" fontId="7" fillId="0" borderId="0" xfId="0" applyFont="1" applyAlignment="1" applyProtection="1">
      <alignment/>
      <protection/>
    </xf>
    <xf numFmtId="0" fontId="6" fillId="0" borderId="0" xfId="0" applyFont="1" applyAlignment="1" applyProtection="1">
      <alignment horizontal="center"/>
      <protection/>
    </xf>
    <xf numFmtId="198" fontId="36" fillId="0" borderId="0" xfId="72" applyNumberFormat="1" applyFont="1" applyAlignment="1" applyProtection="1">
      <alignment vertical="center"/>
      <protection/>
    </xf>
    <xf numFmtId="173" fontId="45" fillId="0" borderId="0" xfId="72" applyFont="1" applyAlignment="1" applyProtection="1">
      <alignment vertical="center"/>
      <protection/>
    </xf>
    <xf numFmtId="198" fontId="35" fillId="0" borderId="0" xfId="72" applyNumberFormat="1" applyAlignment="1" applyProtection="1">
      <alignment vertical="center"/>
      <protection locked="0"/>
    </xf>
    <xf numFmtId="0" fontId="6" fillId="0" borderId="81" xfId="80" applyFont="1" applyFill="1" applyBorder="1" applyAlignment="1">
      <alignment horizontal="centerContinuous" vertical="center" wrapText="1"/>
      <protection/>
    </xf>
    <xf numFmtId="0" fontId="18" fillId="0" borderId="89" xfId="80" applyFont="1" applyFill="1" applyBorder="1" applyAlignment="1" applyProtection="1">
      <alignment horizontal="centerContinuous" vertical="center" wrapText="1"/>
      <protection/>
    </xf>
    <xf numFmtId="0" fontId="18" fillId="0" borderId="105" xfId="80" applyFont="1" applyFill="1" applyBorder="1" applyAlignment="1" applyProtection="1">
      <alignment horizontal="centerContinuous" vertical="center" wrapText="1"/>
      <protection/>
    </xf>
    <xf numFmtId="0" fontId="19" fillId="0" borderId="106" xfId="80" applyFont="1" applyFill="1" applyBorder="1" applyAlignment="1" applyProtection="1">
      <alignment horizontal="centerContinuous" vertical="center"/>
      <protection/>
    </xf>
    <xf numFmtId="1" fontId="6" fillId="0" borderId="0" xfId="0" applyNumberFormat="1" applyFont="1" applyAlignment="1">
      <alignment/>
    </xf>
    <xf numFmtId="1" fontId="9" fillId="0" borderId="37" xfId="0" applyNumberFormat="1" applyFont="1" applyFill="1" applyBorder="1" applyAlignment="1" applyProtection="1">
      <alignment horizontal="center" vertical="center" wrapText="1"/>
      <protection/>
    </xf>
    <xf numFmtId="1" fontId="14" fillId="0" borderId="37" xfId="0" applyNumberFormat="1" applyFont="1" applyFill="1" applyBorder="1" applyAlignment="1" applyProtection="1">
      <alignment horizontal="center" vertical="center" wrapText="1"/>
      <protection/>
    </xf>
    <xf numFmtId="1" fontId="6" fillId="0" borderId="0" xfId="0" applyNumberFormat="1" applyFont="1" applyAlignment="1">
      <alignment horizontal="center"/>
    </xf>
    <xf numFmtId="3" fontId="9" fillId="0" borderId="37" xfId="0" applyNumberFormat="1" applyFont="1" applyFill="1" applyBorder="1" applyAlignment="1" applyProtection="1">
      <alignment horizontal="center" vertical="center" wrapText="1"/>
      <protection/>
    </xf>
    <xf numFmtId="3" fontId="14" fillId="0" borderId="37" xfId="0" applyNumberFormat="1" applyFont="1" applyFill="1" applyBorder="1" applyAlignment="1" applyProtection="1">
      <alignment horizontal="center" vertical="center" wrapText="1"/>
      <protection/>
    </xf>
    <xf numFmtId="0" fontId="46" fillId="0" borderId="0" xfId="0" applyFont="1" applyAlignment="1">
      <alignment/>
    </xf>
    <xf numFmtId="38" fontId="46" fillId="0" borderId="0" xfId="0" applyNumberFormat="1" applyFont="1" applyAlignment="1">
      <alignment/>
    </xf>
    <xf numFmtId="0" fontId="47" fillId="0" borderId="0" xfId="0" applyFont="1" applyAlignment="1">
      <alignment/>
    </xf>
    <xf numFmtId="0" fontId="0" fillId="0" borderId="0" xfId="0" applyFont="1" applyAlignment="1">
      <alignment/>
    </xf>
    <xf numFmtId="0" fontId="0" fillId="0" borderId="0" xfId="0" applyFont="1" applyAlignment="1">
      <alignment/>
    </xf>
    <xf numFmtId="10" fontId="0" fillId="0" borderId="93" xfId="83" applyNumberFormat="1" applyFont="1" applyBorder="1" applyAlignment="1">
      <alignment horizontal="center"/>
    </xf>
    <xf numFmtId="10" fontId="0" fillId="0" borderId="72" xfId="83" applyNumberFormat="1" applyFont="1" applyBorder="1" applyAlignment="1">
      <alignment horizontal="center"/>
    </xf>
    <xf numFmtId="10" fontId="0" fillId="0" borderId="107" xfId="83" applyNumberFormat="1" applyFont="1" applyBorder="1" applyAlignment="1">
      <alignment horizontal="center"/>
    </xf>
    <xf numFmtId="10" fontId="26" fillId="0" borderId="64" xfId="83" applyNumberFormat="1" applyFont="1" applyBorder="1" applyAlignment="1">
      <alignment horizontal="center" wrapText="1"/>
    </xf>
    <xf numFmtId="10" fontId="0" fillId="0" borderId="64" xfId="83" applyNumberFormat="1" applyFont="1" applyBorder="1" applyAlignment="1">
      <alignment horizontal="center"/>
    </xf>
    <xf numFmtId="10" fontId="0" fillId="0" borderId="59" xfId="83" applyNumberFormat="1" applyFont="1" applyBorder="1" applyAlignment="1">
      <alignment horizontal="center"/>
    </xf>
    <xf numFmtId="200" fontId="6" fillId="24" borderId="66" xfId="0" applyNumberFormat="1" applyFont="1" applyFill="1" applyBorder="1" applyAlignment="1">
      <alignment/>
    </xf>
    <xf numFmtId="200" fontId="6" fillId="24" borderId="93" xfId="0" applyNumberFormat="1" applyFont="1" applyFill="1" applyBorder="1" applyAlignment="1">
      <alignment/>
    </xf>
    <xf numFmtId="200" fontId="6" fillId="0" borderId="108" xfId="0" applyNumberFormat="1" applyFont="1" applyFill="1" applyBorder="1" applyAlignment="1">
      <alignment/>
    </xf>
    <xf numFmtId="200" fontId="6" fillId="0" borderId="109" xfId="0" applyNumberFormat="1" applyFont="1" applyFill="1" applyBorder="1" applyAlignment="1">
      <alignment/>
    </xf>
    <xf numFmtId="200" fontId="6" fillId="0" borderId="110" xfId="0" applyNumberFormat="1" applyFont="1" applyFill="1" applyBorder="1" applyAlignment="1">
      <alignment/>
    </xf>
    <xf numFmtId="200" fontId="6" fillId="0" borderId="54" xfId="75" applyNumberFormat="1" applyFont="1" applyFill="1" applyBorder="1">
      <alignment/>
      <protection/>
    </xf>
    <xf numFmtId="200" fontId="6" fillId="0" borderId="109" xfId="75" applyNumberFormat="1" applyFont="1" applyFill="1" applyBorder="1">
      <alignment/>
      <protection/>
    </xf>
    <xf numFmtId="200" fontId="6" fillId="0" borderId="108" xfId="75" applyNumberFormat="1" applyFont="1" applyFill="1" applyBorder="1">
      <alignment/>
      <protection/>
    </xf>
    <xf numFmtId="200" fontId="6" fillId="24" borderId="67" xfId="0" applyNumberFormat="1" applyFont="1" applyFill="1" applyBorder="1" applyAlignment="1">
      <alignment/>
    </xf>
    <xf numFmtId="200" fontId="6" fillId="24" borderId="111" xfId="0" applyNumberFormat="1" applyFont="1" applyFill="1" applyBorder="1" applyAlignment="1">
      <alignment vertical="center"/>
    </xf>
    <xf numFmtId="200" fontId="6" fillId="0" borderId="108" xfId="0" applyNumberFormat="1" applyFont="1" applyFill="1" applyBorder="1" applyAlignment="1" applyProtection="1">
      <alignment vertical="center"/>
      <protection/>
    </xf>
    <xf numFmtId="200" fontId="6" fillId="0" borderId="112" xfId="0" applyNumberFormat="1" applyFont="1" applyFill="1" applyBorder="1" applyAlignment="1" applyProtection="1">
      <alignment vertical="center"/>
      <protection/>
    </xf>
    <xf numFmtId="200" fontId="6" fillId="0" borderId="89" xfId="75" applyNumberFormat="1" applyFont="1" applyFill="1" applyBorder="1" applyProtection="1">
      <alignment/>
      <protection/>
    </xf>
    <xf numFmtId="200" fontId="6" fillId="0" borderId="92" xfId="75" applyNumberFormat="1" applyFont="1" applyFill="1" applyBorder="1" applyProtection="1">
      <alignment/>
      <protection/>
    </xf>
    <xf numFmtId="200" fontId="6" fillId="0" borderId="68" xfId="75" applyNumberFormat="1" applyFont="1" applyFill="1" applyBorder="1" applyProtection="1">
      <alignment/>
      <protection/>
    </xf>
    <xf numFmtId="200" fontId="6" fillId="0" borderId="93" xfId="75" applyNumberFormat="1" applyFont="1" applyFill="1" applyBorder="1" applyProtection="1">
      <alignment/>
      <protection/>
    </xf>
    <xf numFmtId="200" fontId="6" fillId="0" borderId="108" xfId="75" applyNumberFormat="1" applyFont="1" applyFill="1" applyBorder="1" applyProtection="1">
      <alignment/>
      <protection/>
    </xf>
    <xf numFmtId="200" fontId="6" fillId="0" borderId="109" xfId="75" applyNumberFormat="1" applyFont="1" applyFill="1" applyBorder="1" applyProtection="1">
      <alignment/>
      <protection/>
    </xf>
    <xf numFmtId="200" fontId="6" fillId="0" borderId="83" xfId="76" applyNumberFormat="1" applyFont="1" applyFill="1" applyBorder="1" applyAlignment="1" applyProtection="1">
      <alignment/>
      <protection/>
    </xf>
    <xf numFmtId="200" fontId="6" fillId="0" borderId="72" xfId="76" applyNumberFormat="1" applyFont="1" applyFill="1" applyBorder="1" applyAlignment="1" applyProtection="1">
      <alignment/>
      <protection/>
    </xf>
    <xf numFmtId="200" fontId="6" fillId="24" borderId="108" xfId="76" applyNumberFormat="1" applyFont="1" applyFill="1" applyBorder="1" applyAlignment="1">
      <alignment/>
      <protection/>
    </xf>
    <xf numFmtId="200" fontId="6" fillId="24" borderId="110" xfId="76" applyNumberFormat="1" applyFont="1" applyFill="1" applyBorder="1" applyAlignment="1">
      <alignment/>
      <protection/>
    </xf>
    <xf numFmtId="200" fontId="6" fillId="24" borderId="109" xfId="76" applyNumberFormat="1" applyFont="1" applyFill="1" applyBorder="1" applyAlignment="1">
      <alignment/>
      <protection/>
    </xf>
    <xf numFmtId="200" fontId="6" fillId="24" borderId="108" xfId="77" applyNumberFormat="1" applyFont="1" applyFill="1" applyBorder="1">
      <alignment/>
      <protection/>
    </xf>
    <xf numFmtId="200" fontId="6" fillId="24" borderId="109" xfId="77" applyNumberFormat="1" applyFont="1" applyFill="1" applyBorder="1">
      <alignment/>
      <protection/>
    </xf>
    <xf numFmtId="200" fontId="6" fillId="24" borderId="110" xfId="77" applyNumberFormat="1" applyFont="1" applyFill="1" applyBorder="1">
      <alignment/>
      <protection/>
    </xf>
    <xf numFmtId="200" fontId="6" fillId="24" borderId="82" xfId="77" applyNumberFormat="1" applyFont="1" applyFill="1" applyBorder="1">
      <alignment/>
      <protection/>
    </xf>
    <xf numFmtId="200" fontId="6" fillId="24" borderId="113" xfId="77" applyNumberFormat="1" applyFont="1" applyFill="1" applyBorder="1">
      <alignment/>
      <protection/>
    </xf>
    <xf numFmtId="200" fontId="6" fillId="24" borderId="70" xfId="77" applyNumberFormat="1" applyFont="1" applyFill="1" applyBorder="1">
      <alignment/>
      <protection/>
    </xf>
    <xf numFmtId="200" fontId="6" fillId="24" borderId="89" xfId="78" applyNumberFormat="1" applyFont="1" applyFill="1" applyBorder="1">
      <alignment/>
      <protection/>
    </xf>
    <xf numFmtId="200" fontId="6" fillId="24" borderId="113" xfId="78" applyNumberFormat="1" applyFont="1" applyFill="1" applyBorder="1">
      <alignment/>
      <protection/>
    </xf>
    <xf numFmtId="200" fontId="6" fillId="24" borderId="68" xfId="78" applyNumberFormat="1" applyFont="1" applyFill="1" applyBorder="1">
      <alignment/>
      <protection/>
    </xf>
    <xf numFmtId="200" fontId="6" fillId="24" borderId="70" xfId="78" applyNumberFormat="1" applyFont="1" applyFill="1" applyBorder="1">
      <alignment/>
      <protection/>
    </xf>
    <xf numFmtId="200" fontId="6" fillId="24" borderId="108" xfId="78" applyNumberFormat="1" applyFont="1" applyFill="1" applyBorder="1">
      <alignment/>
      <protection/>
    </xf>
    <xf numFmtId="200" fontId="6" fillId="24" borderId="110" xfId="78" applyNumberFormat="1" applyFont="1" applyFill="1" applyBorder="1">
      <alignment/>
      <protection/>
    </xf>
    <xf numFmtId="200" fontId="6" fillId="24" borderId="109" xfId="78" applyNumberFormat="1" applyFont="1" applyFill="1" applyBorder="1">
      <alignment/>
      <protection/>
    </xf>
    <xf numFmtId="200" fontId="6" fillId="24" borderId="83" xfId="79" applyNumberFormat="1" applyFont="1" applyFill="1" applyBorder="1" applyAlignment="1">
      <alignment/>
      <protection/>
    </xf>
    <xf numFmtId="200" fontId="6" fillId="24" borderId="79" xfId="79" applyNumberFormat="1" applyFont="1" applyFill="1" applyBorder="1" applyAlignment="1">
      <alignment/>
      <protection/>
    </xf>
    <xf numFmtId="200" fontId="6" fillId="24" borderId="108" xfId="79" applyNumberFormat="1" applyFont="1" applyFill="1" applyBorder="1" applyAlignment="1">
      <alignment/>
      <protection/>
    </xf>
    <xf numFmtId="200" fontId="6" fillId="24" borderId="109" xfId="79" applyNumberFormat="1" applyFont="1" applyFill="1" applyBorder="1" applyAlignment="1">
      <alignment/>
      <protection/>
    </xf>
    <xf numFmtId="200" fontId="6" fillId="24" borderId="89" xfId="0" applyNumberFormat="1" applyFont="1" applyFill="1" applyBorder="1" applyAlignment="1">
      <alignment/>
    </xf>
    <xf numFmtId="200" fontId="6" fillId="24" borderId="92" xfId="0" applyNumberFormat="1" applyFont="1" applyFill="1" applyBorder="1" applyAlignment="1">
      <alignment/>
    </xf>
    <xf numFmtId="200" fontId="6" fillId="24" borderId="68" xfId="0" applyNumberFormat="1" applyFont="1" applyFill="1" applyBorder="1" applyAlignment="1">
      <alignment/>
    </xf>
    <xf numFmtId="200" fontId="6" fillId="24" borderId="93" xfId="0" applyNumberFormat="1" applyFont="1" applyFill="1" applyBorder="1" applyAlignment="1">
      <alignment/>
    </xf>
    <xf numFmtId="200" fontId="6" fillId="0" borderId="108" xfId="0" applyNumberFormat="1" applyFont="1" applyFill="1" applyBorder="1" applyAlignment="1" applyProtection="1">
      <alignment/>
      <protection/>
    </xf>
    <xf numFmtId="200" fontId="6" fillId="0" borderId="110" xfId="0" applyNumberFormat="1" applyFont="1" applyFill="1" applyBorder="1" applyAlignment="1" applyProtection="1">
      <alignment/>
      <protection/>
    </xf>
    <xf numFmtId="200" fontId="6" fillId="0" borderId="109" xfId="0" applyNumberFormat="1" applyFont="1" applyFill="1" applyBorder="1" applyAlignment="1" applyProtection="1">
      <alignment/>
      <protection/>
    </xf>
    <xf numFmtId="200" fontId="6" fillId="24" borderId="108" xfId="80" applyNumberFormat="1" applyFont="1" applyFill="1" applyBorder="1">
      <alignment/>
      <protection/>
    </xf>
    <xf numFmtId="200" fontId="6" fillId="24" borderId="109" xfId="80" applyNumberFormat="1" applyFont="1" applyFill="1" applyBorder="1">
      <alignment/>
      <protection/>
    </xf>
    <xf numFmtId="200" fontId="6" fillId="24" borderId="110" xfId="80" applyNumberFormat="1" applyFont="1" applyFill="1" applyBorder="1">
      <alignment/>
      <protection/>
    </xf>
    <xf numFmtId="0" fontId="6" fillId="0" borderId="114" xfId="80" applyFont="1" applyFill="1" applyBorder="1" applyAlignment="1">
      <alignment horizontal="centerContinuous" vertical="center" wrapText="1"/>
      <protection/>
    </xf>
    <xf numFmtId="200" fontId="6" fillId="24" borderId="115" xfId="0" applyNumberFormat="1" applyFont="1" applyFill="1" applyBorder="1" applyAlignment="1">
      <alignment/>
    </xf>
    <xf numFmtId="200" fontId="6" fillId="24" borderId="116" xfId="0" applyNumberFormat="1" applyFont="1" applyFill="1" applyBorder="1" applyAlignment="1">
      <alignment/>
    </xf>
    <xf numFmtId="200" fontId="6" fillId="24" borderId="67" xfId="0" applyNumberFormat="1" applyFont="1" applyFill="1" applyBorder="1" applyAlignment="1">
      <alignment/>
    </xf>
    <xf numFmtId="200" fontId="6" fillId="24" borderId="108" xfId="0" applyNumberFormat="1" applyFont="1" applyFill="1" applyBorder="1" applyAlignment="1">
      <alignment/>
    </xf>
    <xf numFmtId="200" fontId="6" fillId="24" borderId="70" xfId="0" applyNumberFormat="1" applyFont="1" applyFill="1" applyBorder="1" applyAlignment="1">
      <alignment/>
    </xf>
    <xf numFmtId="0" fontId="37" fillId="0" borderId="0" xfId="72" applyNumberFormat="1" applyFont="1" applyAlignment="1" applyProtection="1">
      <alignment vertical="center"/>
      <protection/>
    </xf>
    <xf numFmtId="0" fontId="20" fillId="0" borderId="28" xfId="80" applyFont="1" applyFill="1" applyBorder="1" applyAlignment="1">
      <alignment horizontal="center"/>
      <protection/>
    </xf>
    <xf numFmtId="0" fontId="35" fillId="0" borderId="0" xfId="72" applyNumberFormat="1" applyAlignment="1" applyProtection="1">
      <alignment vertical="center"/>
      <protection locked="0"/>
    </xf>
    <xf numFmtId="0" fontId="25" fillId="0" borderId="117" xfId="0" applyFont="1" applyBorder="1" applyAlignment="1">
      <alignment horizontal="left" vertical="center" wrapText="1"/>
    </xf>
    <xf numFmtId="0" fontId="7" fillId="0" borderId="41" xfId="0" applyFont="1" applyFill="1" applyBorder="1" applyAlignment="1" applyProtection="1">
      <alignment horizontal="left"/>
      <protection/>
    </xf>
    <xf numFmtId="0" fontId="28" fillId="0" borderId="24" xfId="0" applyFont="1" applyFill="1" applyBorder="1" applyAlignment="1">
      <alignment horizontal="center"/>
    </xf>
    <xf numFmtId="0" fontId="19" fillId="0" borderId="29" xfId="0" applyFont="1" applyFill="1" applyBorder="1" applyAlignment="1" applyProtection="1">
      <alignment horizontal="center" vertical="center" wrapText="1"/>
      <protection/>
    </xf>
    <xf numFmtId="0" fontId="19" fillId="0" borderId="118" xfId="0" applyNumberFormat="1" applyFont="1" applyFill="1" applyBorder="1" applyAlignment="1" applyProtection="1">
      <alignment horizontal="center" vertical="center" wrapText="1"/>
      <protection/>
    </xf>
    <xf numFmtId="0" fontId="19" fillId="0" borderId="118" xfId="0" applyFont="1" applyFill="1" applyBorder="1" applyAlignment="1" applyProtection="1">
      <alignment horizontal="center" vertical="center" wrapText="1"/>
      <protection/>
    </xf>
    <xf numFmtId="0" fontId="49" fillId="0" borderId="33" xfId="0" applyFont="1" applyFill="1" applyBorder="1" applyAlignment="1">
      <alignment horizontal="center" vertical="center" wrapText="1"/>
    </xf>
    <xf numFmtId="0" fontId="49" fillId="0" borderId="119" xfId="0" applyFont="1" applyFill="1" applyBorder="1" applyAlignment="1">
      <alignment horizontal="center" vertical="center" wrapText="1"/>
    </xf>
    <xf numFmtId="0" fontId="50" fillId="0" borderId="0" xfId="0" applyFont="1" applyAlignment="1">
      <alignment/>
    </xf>
    <xf numFmtId="0" fontId="18" fillId="0" borderId="19" xfId="80" applyFont="1" applyFill="1" applyBorder="1" applyAlignment="1" applyProtection="1">
      <alignment horizontal="centerContinuous" vertical="center" wrapText="1"/>
      <protection/>
    </xf>
    <xf numFmtId="0" fontId="6" fillId="0" borderId="20" xfId="80" applyFont="1" applyFill="1" applyBorder="1" applyAlignment="1">
      <alignment horizontal="centerContinuous" vertical="center" wrapText="1"/>
      <protection/>
    </xf>
    <xf numFmtId="2" fontId="6" fillId="0" borderId="120" xfId="0" applyNumberFormat="1" applyFont="1" applyBorder="1" applyAlignment="1">
      <alignment horizontal="center" vertical="center" wrapText="1"/>
    </xf>
    <xf numFmtId="173" fontId="13" fillId="0" borderId="0" xfId="72" applyFont="1" applyAlignment="1" applyProtection="1">
      <alignment horizontal="left" vertical="center" wrapText="1"/>
      <protection/>
    </xf>
    <xf numFmtId="198" fontId="35" fillId="0" borderId="0" xfId="72" applyNumberFormat="1" applyFont="1" applyFill="1" applyAlignment="1" applyProtection="1">
      <alignment vertical="center"/>
      <protection/>
    </xf>
    <xf numFmtId="198" fontId="36" fillId="0" borderId="0" xfId="72" applyNumberFormat="1" applyFont="1" applyFill="1" applyAlignment="1" applyProtection="1">
      <alignment vertical="center"/>
      <protection/>
    </xf>
    <xf numFmtId="173" fontId="52" fillId="0" borderId="0" xfId="72" applyFont="1" applyAlignment="1">
      <alignment horizontal="center" vertical="center" wrapText="1"/>
      <protection/>
    </xf>
    <xf numFmtId="0" fontId="52" fillId="0" borderId="0" xfId="72" applyNumberFormat="1" applyFont="1" applyAlignment="1">
      <alignment horizontal="center" vertical="center" wrapText="1"/>
      <protection/>
    </xf>
    <xf numFmtId="49" fontId="54" fillId="0" borderId="60" xfId="36" applyNumberFormat="1" applyFont="1" applyBorder="1" applyAlignment="1" applyProtection="1">
      <alignment horizontal="left" vertical="center"/>
      <protection locked="0"/>
    </xf>
    <xf numFmtId="0" fontId="35" fillId="0" borderId="0" xfId="72" applyNumberFormat="1" applyAlignment="1">
      <alignment vertical="center"/>
      <protection/>
    </xf>
    <xf numFmtId="173" fontId="13" fillId="0" borderId="0" xfId="72" applyFont="1" applyBorder="1" applyAlignment="1" applyProtection="1">
      <alignment horizontal="left" vertical="center" wrapText="1"/>
      <protection/>
    </xf>
    <xf numFmtId="173" fontId="35" fillId="0" borderId="0" xfId="72" applyFont="1" applyAlignment="1">
      <alignment vertical="center"/>
      <protection/>
    </xf>
    <xf numFmtId="173" fontId="55" fillId="0" borderId="0" xfId="72" applyFont="1" applyAlignment="1" applyProtection="1">
      <alignment vertical="center"/>
      <protection/>
    </xf>
    <xf numFmtId="173" fontId="55" fillId="0" borderId="0" xfId="72" applyFont="1" applyAlignment="1">
      <alignment vertical="center"/>
      <protection/>
    </xf>
    <xf numFmtId="0" fontId="6" fillId="0" borderId="121" xfId="0" applyFont="1" applyFill="1" applyBorder="1" applyAlignment="1" applyProtection="1">
      <alignment horizontal="left"/>
      <protection/>
    </xf>
    <xf numFmtId="3" fontId="6" fillId="24" borderId="122" xfId="0" applyNumberFormat="1" applyFont="1" applyFill="1" applyBorder="1" applyAlignment="1">
      <alignment horizontal="center"/>
    </xf>
    <xf numFmtId="0" fontId="9" fillId="0" borderId="123" xfId="0" applyFont="1" applyFill="1" applyBorder="1" applyAlignment="1" applyProtection="1">
      <alignment horizontal="center"/>
      <protection/>
    </xf>
    <xf numFmtId="3" fontId="9" fillId="0" borderId="124" xfId="0" applyNumberFormat="1" applyFont="1" applyBorder="1" applyAlignment="1">
      <alignment horizontal="center"/>
    </xf>
    <xf numFmtId="2" fontId="6" fillId="0" borderId="29" xfId="47" applyNumberFormat="1" applyFont="1" applyFill="1" applyBorder="1" applyAlignment="1" applyProtection="1">
      <alignment/>
      <protection locked="0"/>
    </xf>
    <xf numFmtId="2" fontId="6" fillId="0" borderId="49" xfId="47" applyNumberFormat="1" applyFont="1" applyFill="1" applyBorder="1" applyAlignment="1" applyProtection="1">
      <alignment/>
      <protection locked="0"/>
    </xf>
    <xf numFmtId="2" fontId="6" fillId="0" borderId="93" xfId="47" applyNumberFormat="1" applyFont="1" applyFill="1" applyBorder="1" applyAlignment="1" applyProtection="1">
      <alignment/>
      <protection locked="0"/>
    </xf>
    <xf numFmtId="2" fontId="6" fillId="0" borderId="83" xfId="47" applyNumberFormat="1" applyFont="1" applyFill="1" applyBorder="1" applyAlignment="1" applyProtection="1">
      <alignment/>
      <protection locked="0"/>
    </xf>
    <xf numFmtId="2" fontId="6" fillId="0" borderId="79" xfId="47" applyNumberFormat="1" applyFont="1" applyFill="1" applyBorder="1" applyAlignment="1" applyProtection="1">
      <alignment/>
      <protection locked="0"/>
    </xf>
    <xf numFmtId="2" fontId="6" fillId="0" borderId="72" xfId="47" applyNumberFormat="1" applyFont="1" applyFill="1" applyBorder="1" applyAlignment="1" applyProtection="1">
      <alignment/>
      <protection locked="0"/>
    </xf>
    <xf numFmtId="2" fontId="6" fillId="0" borderId="66" xfId="47" applyNumberFormat="1" applyFont="1" applyFill="1" applyBorder="1" applyAlignment="1" applyProtection="1">
      <alignment/>
      <protection locked="0"/>
    </xf>
    <xf numFmtId="0" fontId="16" fillId="0" borderId="29" xfId="0" applyFont="1" applyFill="1" applyBorder="1" applyAlignment="1" applyProtection="1">
      <alignment horizontal="center"/>
      <protection/>
    </xf>
    <xf numFmtId="0" fontId="16" fillId="0" borderId="30" xfId="0" applyFont="1" applyFill="1" applyBorder="1" applyAlignment="1" applyProtection="1">
      <alignment horizontal="center"/>
      <protection/>
    </xf>
    <xf numFmtId="0" fontId="16" fillId="0" borderId="43" xfId="0" applyFont="1" applyFill="1" applyBorder="1" applyAlignment="1" applyProtection="1">
      <alignment horizontal="center"/>
      <protection/>
    </xf>
    <xf numFmtId="2" fontId="6" fillId="0" borderId="105" xfId="47" applyNumberFormat="1" applyFont="1" applyFill="1" applyBorder="1" applyAlignment="1" applyProtection="1">
      <alignment/>
      <protection locked="0"/>
    </xf>
    <xf numFmtId="208" fontId="6" fillId="0" borderId="108" xfId="47" applyNumberFormat="1" applyFont="1" applyFill="1" applyBorder="1" applyAlignment="1">
      <alignment/>
    </xf>
    <xf numFmtId="208" fontId="6" fillId="0" borderId="109" xfId="47" applyNumberFormat="1" applyFont="1" applyFill="1" applyBorder="1" applyAlignment="1">
      <alignment/>
    </xf>
    <xf numFmtId="208" fontId="6" fillId="0" borderId="110" xfId="47" applyNumberFormat="1" applyFont="1" applyFill="1" applyBorder="1" applyAlignment="1">
      <alignment/>
    </xf>
    <xf numFmtId="208" fontId="6" fillId="24" borderId="115" xfId="0" applyNumberFormat="1" applyFont="1" applyFill="1" applyBorder="1" applyAlignment="1">
      <alignment/>
    </xf>
    <xf numFmtId="0" fontId="14" fillId="0" borderId="121" xfId="0" applyFont="1" applyBorder="1" applyAlignment="1">
      <alignment horizontal="center" vertical="center" wrapText="1"/>
    </xf>
    <xf numFmtId="0" fontId="14" fillId="0" borderId="122" xfId="0" applyFont="1" applyBorder="1" applyAlignment="1">
      <alignment horizontal="center" vertical="center" wrapText="1"/>
    </xf>
    <xf numFmtId="0" fontId="14" fillId="0" borderId="125" xfId="0" applyFont="1" applyBorder="1" applyAlignment="1">
      <alignment horizontal="center" vertical="center" wrapText="1"/>
    </xf>
    <xf numFmtId="173" fontId="17" fillId="0" borderId="0" xfId="72" applyFont="1" applyAlignment="1" applyProtection="1">
      <alignment vertical="top"/>
      <protection/>
    </xf>
    <xf numFmtId="173" fontId="17" fillId="0" borderId="0" xfId="72" applyFont="1" applyAlignment="1">
      <alignment vertical="top"/>
      <protection/>
    </xf>
    <xf numFmtId="200" fontId="6" fillId="0" borderId="126" xfId="75" applyNumberFormat="1" applyFont="1" applyFill="1" applyBorder="1">
      <alignment/>
      <protection/>
    </xf>
    <xf numFmtId="3" fontId="6" fillId="0" borderId="59" xfId="75" applyNumberFormat="1" applyFont="1" applyFill="1" applyBorder="1" applyProtection="1">
      <alignment/>
      <protection locked="0"/>
    </xf>
    <xf numFmtId="200" fontId="6" fillId="0" borderId="31" xfId="75" applyNumberFormat="1" applyFont="1" applyFill="1" applyBorder="1">
      <alignment/>
      <protection/>
    </xf>
    <xf numFmtId="3" fontId="6" fillId="0" borderId="89" xfId="75" applyNumberFormat="1" applyFont="1" applyFill="1" applyBorder="1" applyProtection="1">
      <alignment/>
      <protection locked="0"/>
    </xf>
    <xf numFmtId="200" fontId="6" fillId="0" borderId="126" xfId="75" applyNumberFormat="1" applyFont="1" applyFill="1" applyBorder="1" applyProtection="1">
      <alignment/>
      <protection/>
    </xf>
    <xf numFmtId="3" fontId="6" fillId="0" borderId="68" xfId="75" applyNumberFormat="1" applyFont="1" applyFill="1" applyBorder="1" applyProtection="1">
      <alignment/>
      <protection locked="0"/>
    </xf>
    <xf numFmtId="3" fontId="6" fillId="0" borderId="127" xfId="79" applyNumberFormat="1" applyFont="1" applyFill="1" applyBorder="1" applyAlignment="1" applyProtection="1">
      <alignment/>
      <protection locked="0"/>
    </xf>
    <xf numFmtId="3" fontId="6" fillId="0" borderId="80" xfId="79" applyNumberFormat="1" applyFont="1" applyFill="1" applyBorder="1" applyAlignment="1" applyProtection="1">
      <alignment/>
      <protection locked="0"/>
    </xf>
    <xf numFmtId="200" fontId="6" fillId="24" borderId="126" xfId="79" applyNumberFormat="1" applyFont="1" applyFill="1" applyBorder="1" applyAlignment="1">
      <alignment/>
      <protection/>
    </xf>
    <xf numFmtId="200" fontId="6" fillId="24" borderId="128" xfId="79" applyNumberFormat="1" applyFont="1" applyFill="1" applyBorder="1" applyAlignment="1">
      <alignment/>
      <protection/>
    </xf>
    <xf numFmtId="0" fontId="18" fillId="0" borderId="26" xfId="79" applyFont="1" applyFill="1" applyBorder="1" applyAlignment="1" applyProtection="1">
      <alignment horizontal="centerContinuous" vertical="center" wrapText="1"/>
      <protection/>
    </xf>
    <xf numFmtId="0" fontId="6" fillId="0" borderId="27" xfId="79" applyFont="1" applyFill="1" applyBorder="1" applyAlignment="1" applyProtection="1">
      <alignment horizontal="centerContinuous" vertical="center" wrapText="1"/>
      <protection/>
    </xf>
    <xf numFmtId="200" fontId="6" fillId="24" borderId="129" xfId="79" applyNumberFormat="1" applyFont="1" applyFill="1" applyBorder="1" applyAlignment="1">
      <alignment/>
      <protection/>
    </xf>
    <xf numFmtId="0" fontId="19" fillId="0" borderId="130" xfId="79" applyFont="1" applyFill="1" applyBorder="1" applyAlignment="1" applyProtection="1">
      <alignment horizontal="centerContinuous" vertical="center" wrapText="1"/>
      <protection/>
    </xf>
    <xf numFmtId="0" fontId="19" fillId="0" borderId="131" xfId="79" applyFont="1" applyFill="1" applyBorder="1" applyAlignment="1" applyProtection="1">
      <alignment horizontal="centerContinuous" vertical="center" wrapText="1"/>
      <protection/>
    </xf>
    <xf numFmtId="200" fontId="6" fillId="24" borderId="132" xfId="79" applyNumberFormat="1" applyFont="1" applyFill="1" applyBorder="1" applyAlignment="1">
      <alignment/>
      <protection/>
    </xf>
    <xf numFmtId="200" fontId="0" fillId="0" borderId="133" xfId="0" applyNumberFormat="1" applyBorder="1" applyAlignment="1">
      <alignment/>
    </xf>
    <xf numFmtId="200" fontId="6" fillId="0" borderId="110" xfId="75" applyNumberFormat="1" applyFont="1" applyFill="1" applyBorder="1" applyProtection="1">
      <alignment/>
      <protection/>
    </xf>
    <xf numFmtId="200" fontId="6" fillId="24" borderId="115" xfId="76" applyNumberFormat="1" applyFont="1" applyFill="1" applyBorder="1" applyAlignment="1">
      <alignment/>
      <protection/>
    </xf>
    <xf numFmtId="200" fontId="6" fillId="24" borderId="83" xfId="80" applyNumberFormat="1" applyFont="1" applyFill="1" applyBorder="1">
      <alignment/>
      <protection/>
    </xf>
    <xf numFmtId="0" fontId="20" fillId="0" borderId="99" xfId="80" applyFont="1" applyFill="1" applyBorder="1" applyAlignment="1" applyProtection="1">
      <alignment horizontal="center"/>
      <protection/>
    </xf>
    <xf numFmtId="200" fontId="6" fillId="24" borderId="79" xfId="80" applyNumberFormat="1" applyFont="1" applyFill="1" applyBorder="1">
      <alignment/>
      <protection/>
    </xf>
    <xf numFmtId="173" fontId="13" fillId="0" borderId="0" xfId="72" applyFont="1" applyFill="1" applyBorder="1" applyAlignment="1" applyProtection="1">
      <alignment vertical="center"/>
      <protection locked="0"/>
    </xf>
    <xf numFmtId="173" fontId="35" fillId="24" borderId="0" xfId="72" applyFont="1" applyFill="1" applyAlignment="1" applyProtection="1">
      <alignment vertical="center"/>
      <protection/>
    </xf>
    <xf numFmtId="173" fontId="17" fillId="24" borderId="0" xfId="72" applyFont="1" applyFill="1" applyAlignment="1" applyProtection="1">
      <alignment vertical="center"/>
      <protection/>
    </xf>
    <xf numFmtId="0" fontId="0" fillId="24" borderId="0" xfId="0" applyFill="1" applyAlignment="1" applyProtection="1">
      <alignment/>
      <protection/>
    </xf>
    <xf numFmtId="173" fontId="45" fillId="24" borderId="0" xfId="72" applyFont="1" applyFill="1" applyAlignment="1" applyProtection="1">
      <alignment vertical="center"/>
      <protection/>
    </xf>
    <xf numFmtId="173" fontId="13" fillId="24" borderId="0" xfId="72" applyFont="1" applyFill="1" applyAlignment="1" applyProtection="1">
      <alignment vertical="center"/>
      <protection/>
    </xf>
    <xf numFmtId="173" fontId="13" fillId="24" borderId="0" xfId="72" applyFont="1" applyFill="1" applyAlignment="1" applyProtection="1">
      <alignment horizontal="left" vertical="center"/>
      <protection/>
    </xf>
    <xf numFmtId="173" fontId="22" fillId="24" borderId="0" xfId="72" applyFont="1" applyFill="1" applyAlignment="1" applyProtection="1">
      <alignment horizontal="left" vertical="center"/>
      <protection/>
    </xf>
    <xf numFmtId="173" fontId="17" fillId="24" borderId="0" xfId="72" applyFont="1" applyFill="1" applyAlignment="1" applyProtection="1">
      <alignment horizontal="left" vertical="center"/>
      <protection/>
    </xf>
    <xf numFmtId="173" fontId="22" fillId="24" borderId="0" xfId="72" applyFont="1" applyFill="1" applyAlignment="1" applyProtection="1">
      <alignment vertical="center"/>
      <protection/>
    </xf>
    <xf numFmtId="173" fontId="56" fillId="24" borderId="0" xfId="72" applyFont="1" applyFill="1" applyAlignment="1" applyProtection="1">
      <alignment vertical="center"/>
      <protection/>
    </xf>
    <xf numFmtId="173" fontId="13" fillId="24" borderId="0" xfId="72" applyFont="1" applyFill="1" applyBorder="1" applyAlignment="1" applyProtection="1">
      <alignment horizontal="left" vertical="center"/>
      <protection/>
    </xf>
    <xf numFmtId="173" fontId="13" fillId="24" borderId="0" xfId="72" applyFont="1" applyFill="1" applyBorder="1" applyAlignment="1" applyProtection="1">
      <alignment vertical="center"/>
      <protection/>
    </xf>
    <xf numFmtId="0" fontId="56" fillId="24" borderId="0" xfId="74" applyFont="1" applyFill="1" applyAlignment="1" applyProtection="1">
      <alignment vertical="center"/>
      <protection/>
    </xf>
    <xf numFmtId="0" fontId="13" fillId="24" borderId="0" xfId="74" applyFont="1" applyFill="1" applyAlignment="1" applyProtection="1">
      <alignment vertical="center"/>
      <protection/>
    </xf>
    <xf numFmtId="173" fontId="17" fillId="24" borderId="0" xfId="72" applyFont="1" applyFill="1" applyBorder="1" applyAlignment="1" applyProtection="1">
      <alignment vertical="center"/>
      <protection/>
    </xf>
    <xf numFmtId="173" fontId="17" fillId="24" borderId="117" xfId="72" applyFont="1" applyFill="1" applyBorder="1" applyAlignment="1" applyProtection="1">
      <alignment vertical="center"/>
      <protection/>
    </xf>
    <xf numFmtId="173" fontId="48" fillId="24" borderId="117" xfId="72" applyFont="1" applyFill="1" applyBorder="1" applyAlignment="1" applyProtection="1">
      <alignment vertical="center"/>
      <protection/>
    </xf>
    <xf numFmtId="173" fontId="56" fillId="24" borderId="80" xfId="72" applyFont="1" applyFill="1" applyBorder="1" applyAlignment="1" applyProtection="1">
      <alignment vertical="center"/>
      <protection/>
    </xf>
    <xf numFmtId="173" fontId="13" fillId="24" borderId="80" xfId="72" applyFont="1" applyFill="1" applyBorder="1" applyAlignment="1" applyProtection="1">
      <alignment vertical="center"/>
      <protection/>
    </xf>
    <xf numFmtId="173" fontId="35" fillId="24" borderId="117" xfId="72" applyFont="1" applyFill="1" applyBorder="1" applyAlignment="1" applyProtection="1">
      <alignment vertical="center"/>
      <protection/>
    </xf>
    <xf numFmtId="173" fontId="13" fillId="0" borderId="0" xfId="72" applyFont="1" applyFill="1" applyBorder="1" applyAlignment="1" applyProtection="1">
      <alignment vertical="center"/>
      <protection/>
    </xf>
    <xf numFmtId="173" fontId="35" fillId="0" borderId="0" xfId="72" applyBorder="1" applyAlignment="1">
      <alignment vertical="center"/>
      <protection/>
    </xf>
    <xf numFmtId="173" fontId="35" fillId="0" borderId="0" xfId="72" applyAlignment="1" applyProtection="1">
      <alignment vertical="center"/>
      <protection locked="0"/>
    </xf>
    <xf numFmtId="198" fontId="35" fillId="24" borderId="134" xfId="72" applyNumberFormat="1" applyFont="1" applyFill="1" applyBorder="1" applyAlignment="1" applyProtection="1">
      <alignment vertical="center"/>
      <protection/>
    </xf>
    <xf numFmtId="198" fontId="35" fillId="24" borderId="135" xfId="72" applyNumberFormat="1" applyFont="1" applyFill="1" applyBorder="1" applyAlignment="1" applyProtection="1">
      <alignment vertical="center"/>
      <protection/>
    </xf>
    <xf numFmtId="173" fontId="35" fillId="24" borderId="134" xfId="72" applyFill="1" applyBorder="1" applyAlignment="1" applyProtection="1">
      <alignment vertical="center"/>
      <protection/>
    </xf>
    <xf numFmtId="173" fontId="22" fillId="16" borderId="37" xfId="72" applyFont="1" applyFill="1" applyBorder="1" applyAlignment="1" applyProtection="1">
      <alignment horizontal="center" vertical="center"/>
      <protection/>
    </xf>
    <xf numFmtId="0" fontId="22" fillId="24" borderId="0" xfId="0" applyFont="1" applyFill="1" applyAlignment="1" applyProtection="1">
      <alignment/>
      <protection/>
    </xf>
    <xf numFmtId="173" fontId="13" fillId="24" borderId="134" xfId="72" applyFont="1" applyFill="1" applyBorder="1" applyAlignment="1" applyProtection="1">
      <alignment vertical="center"/>
      <protection/>
    </xf>
    <xf numFmtId="0" fontId="13" fillId="24" borderId="134" xfId="74" applyFont="1" applyFill="1" applyBorder="1" applyAlignment="1" applyProtection="1">
      <alignment vertical="center"/>
      <protection/>
    </xf>
    <xf numFmtId="173" fontId="13" fillId="24" borderId="82" xfId="72" applyFont="1" applyFill="1" applyBorder="1" applyAlignment="1" applyProtection="1">
      <alignment vertical="center"/>
      <protection/>
    </xf>
    <xf numFmtId="1" fontId="13" fillId="22" borderId="37" xfId="72" applyNumberFormat="1" applyFont="1" applyFill="1" applyBorder="1" applyAlignment="1" applyProtection="1">
      <alignment vertical="center"/>
      <protection locked="0"/>
    </xf>
    <xf numFmtId="1" fontId="13" fillId="22" borderId="37" xfId="74" applyNumberFormat="1" applyFont="1" applyFill="1" applyBorder="1" applyAlignment="1" applyProtection="1">
      <alignment vertical="center"/>
      <protection locked="0"/>
    </xf>
    <xf numFmtId="49" fontId="17" fillId="24" borderId="24" xfId="69" applyNumberFormat="1" applyFont="1" applyFill="1" applyBorder="1" applyAlignment="1" applyProtection="1">
      <alignment horizontal="left" vertical="center"/>
      <protection locked="0"/>
    </xf>
    <xf numFmtId="49" fontId="17" fillId="24" borderId="0" xfId="69" applyNumberFormat="1" applyFont="1" applyFill="1" applyBorder="1" applyAlignment="1" applyProtection="1">
      <alignment horizontal="left" vertical="center"/>
      <protection locked="0"/>
    </xf>
    <xf numFmtId="0" fontId="52" fillId="0" borderId="0" xfId="72" applyNumberFormat="1" applyFont="1" applyBorder="1" applyAlignment="1">
      <alignment horizontal="center" vertical="center" wrapText="1"/>
      <protection/>
    </xf>
    <xf numFmtId="1" fontId="35" fillId="0" borderId="0" xfId="72" applyNumberFormat="1" applyAlignment="1" applyProtection="1">
      <alignment vertical="center"/>
      <protection/>
    </xf>
    <xf numFmtId="0" fontId="0" fillId="24" borderId="0" xfId="0" applyFill="1" applyAlignment="1">
      <alignment/>
    </xf>
    <xf numFmtId="0" fontId="0" fillId="24" borderId="0" xfId="0" applyFill="1" applyBorder="1" applyAlignment="1">
      <alignment/>
    </xf>
    <xf numFmtId="0" fontId="60" fillId="24" borderId="0" xfId="0" applyFont="1" applyFill="1" applyBorder="1" applyAlignment="1">
      <alignment horizontal="center"/>
    </xf>
    <xf numFmtId="0" fontId="61" fillId="24" borderId="0" xfId="0" applyFont="1" applyFill="1" applyBorder="1" applyAlignment="1">
      <alignment horizontal="center"/>
    </xf>
    <xf numFmtId="198" fontId="0" fillId="24" borderId="0" xfId="0" applyNumberFormat="1" applyFill="1" applyAlignment="1">
      <alignment/>
    </xf>
    <xf numFmtId="0" fontId="62" fillId="24" borderId="0" xfId="0" applyFont="1" applyFill="1" applyAlignment="1">
      <alignment/>
    </xf>
    <xf numFmtId="198" fontId="0" fillId="24" borderId="0" xfId="0" applyNumberFormat="1" applyFill="1" applyBorder="1" applyAlignment="1">
      <alignment/>
    </xf>
    <xf numFmtId="0" fontId="63" fillId="24" borderId="0" xfId="0" applyFont="1" applyFill="1" applyBorder="1" applyAlignment="1">
      <alignment horizontal="right"/>
    </xf>
    <xf numFmtId="0" fontId="0" fillId="24" borderId="0" xfId="0" applyFill="1" applyBorder="1" applyAlignment="1">
      <alignment/>
    </xf>
    <xf numFmtId="0" fontId="57" fillId="24" borderId="0" xfId="0" applyFont="1" applyFill="1" applyAlignment="1">
      <alignment/>
    </xf>
    <xf numFmtId="0" fontId="25" fillId="24" borderId="37" xfId="0" applyFont="1" applyFill="1" applyBorder="1" applyAlignment="1">
      <alignment horizontal="center" wrapText="1"/>
    </xf>
    <xf numFmtId="0" fontId="25" fillId="24" borderId="37" xfId="0" applyFont="1" applyFill="1" applyBorder="1" applyAlignment="1">
      <alignment horizontal="center"/>
    </xf>
    <xf numFmtId="0" fontId="25" fillId="24" borderId="83" xfId="0" applyFont="1" applyFill="1" applyBorder="1" applyAlignment="1">
      <alignment horizontal="center" wrapText="1"/>
    </xf>
    <xf numFmtId="0" fontId="25" fillId="24" borderId="79" xfId="0" applyFont="1" applyFill="1" applyBorder="1" applyAlignment="1">
      <alignment horizontal="center"/>
    </xf>
    <xf numFmtId="0" fontId="7" fillId="24" borderId="64" xfId="0" applyFont="1" applyFill="1" applyBorder="1" applyAlignment="1">
      <alignment horizontal="left"/>
    </xf>
    <xf numFmtId="0" fontId="25" fillId="24" borderId="59" xfId="0" applyFont="1" applyFill="1" applyBorder="1" applyAlignment="1">
      <alignment horizontal="right"/>
    </xf>
    <xf numFmtId="173" fontId="8" fillId="0" borderId="0" xfId="72" applyFont="1" applyFill="1" applyBorder="1" applyAlignment="1" applyProtection="1">
      <alignment horizontal="center" vertical="center"/>
      <protection/>
    </xf>
    <xf numFmtId="3" fontId="0" fillId="0" borderId="113" xfId="0" applyNumberFormat="1" applyBorder="1" applyAlignment="1" applyProtection="1">
      <alignment/>
      <protection locked="0"/>
    </xf>
    <xf numFmtId="3" fontId="0" fillId="0" borderId="71" xfId="0" applyNumberFormat="1" applyBorder="1" applyAlignment="1" applyProtection="1">
      <alignment/>
      <protection locked="0"/>
    </xf>
    <xf numFmtId="0" fontId="8" fillId="24" borderId="0" xfId="0" applyFont="1" applyFill="1" applyAlignment="1" applyProtection="1">
      <alignment horizontal="center" vertical="top"/>
      <protection/>
    </xf>
    <xf numFmtId="198" fontId="17" fillId="0" borderId="0" xfId="72" applyNumberFormat="1" applyFont="1" applyAlignment="1" applyProtection="1">
      <alignment vertical="center"/>
      <protection/>
    </xf>
    <xf numFmtId="1" fontId="0" fillId="24" borderId="0" xfId="0" applyNumberFormat="1" applyFill="1" applyBorder="1" applyAlignment="1" applyProtection="1">
      <alignment/>
      <protection/>
    </xf>
    <xf numFmtId="173" fontId="35" fillId="24" borderId="0" xfId="72" applyFill="1" applyAlignment="1" applyProtection="1">
      <alignment vertical="center"/>
      <protection/>
    </xf>
    <xf numFmtId="0" fontId="17" fillId="24" borderId="0" xfId="74" applyFill="1" applyAlignment="1" applyProtection="1">
      <alignment vertical="center"/>
      <protection/>
    </xf>
    <xf numFmtId="0" fontId="81" fillId="16" borderId="80" xfId="71" applyFont="1" applyFill="1" applyBorder="1" applyAlignment="1" applyProtection="1">
      <alignment vertical="top"/>
      <protection/>
    </xf>
    <xf numFmtId="1" fontId="17" fillId="22" borderId="37" xfId="72" applyNumberFormat="1" applyFont="1" applyFill="1" applyBorder="1" applyAlignment="1" applyProtection="1">
      <alignment vertical="center"/>
      <protection locked="0"/>
    </xf>
    <xf numFmtId="173" fontId="35" fillId="0" borderId="0" xfId="72" applyBorder="1" applyAlignment="1" applyProtection="1">
      <alignment vertical="center"/>
      <protection/>
    </xf>
    <xf numFmtId="3" fontId="7" fillId="24" borderId="37" xfId="0" applyNumberFormat="1" applyFont="1" applyFill="1" applyBorder="1" applyAlignment="1" applyProtection="1">
      <alignment wrapText="1"/>
      <protection locked="0"/>
    </xf>
    <xf numFmtId="3" fontId="7" fillId="24" borderId="37" xfId="0" applyNumberFormat="1" applyFont="1" applyFill="1" applyBorder="1" applyAlignment="1" applyProtection="1">
      <alignment/>
      <protection locked="0"/>
    </xf>
    <xf numFmtId="3" fontId="7" fillId="24" borderId="83" xfId="0" applyNumberFormat="1" applyFont="1" applyFill="1" applyBorder="1" applyAlignment="1" applyProtection="1">
      <alignment/>
      <protection locked="0"/>
    </xf>
    <xf numFmtId="3" fontId="7" fillId="24" borderId="79" xfId="0" applyNumberFormat="1" applyFont="1" applyFill="1" applyBorder="1" applyAlignment="1" applyProtection="1">
      <alignment/>
      <protection locked="0"/>
    </xf>
    <xf numFmtId="3" fontId="7" fillId="24" borderId="83" xfId="0" applyNumberFormat="1" applyFont="1" applyFill="1" applyBorder="1" applyAlignment="1" applyProtection="1">
      <alignment horizontal="right"/>
      <protection locked="0"/>
    </xf>
    <xf numFmtId="200" fontId="7" fillId="24" borderId="68" xfId="0" applyNumberFormat="1" applyFont="1" applyFill="1" applyBorder="1" applyAlignment="1">
      <alignment horizontal="right"/>
    </xf>
    <xf numFmtId="200" fontId="7" fillId="24" borderId="52" xfId="0" applyNumberFormat="1" applyFont="1" applyFill="1" applyBorder="1" applyAlignment="1">
      <alignment horizontal="right"/>
    </xf>
    <xf numFmtId="200" fontId="7" fillId="24" borderId="49" xfId="0" applyNumberFormat="1" applyFont="1" applyFill="1" applyBorder="1" applyAlignment="1">
      <alignment horizontal="right"/>
    </xf>
    <xf numFmtId="3" fontId="6" fillId="0" borderId="81" xfId="76" applyNumberFormat="1" applyFont="1" applyFill="1" applyBorder="1" applyProtection="1">
      <alignment/>
      <protection locked="0"/>
    </xf>
    <xf numFmtId="3" fontId="0" fillId="0" borderId="89" xfId="0" applyNumberFormat="1" applyBorder="1" applyAlignment="1" applyProtection="1">
      <alignment/>
      <protection locked="0"/>
    </xf>
    <xf numFmtId="3" fontId="6" fillId="0" borderId="49" xfId="76" applyNumberFormat="1" applyFont="1" applyFill="1" applyBorder="1" applyProtection="1">
      <alignment/>
      <protection locked="0"/>
    </xf>
    <xf numFmtId="3" fontId="0" fillId="0" borderId="83" xfId="0" applyNumberFormat="1" applyBorder="1" applyAlignment="1" applyProtection="1">
      <alignment/>
      <protection locked="0"/>
    </xf>
    <xf numFmtId="200" fontId="0" fillId="0" borderId="108" xfId="0" applyNumberFormat="1" applyBorder="1" applyAlignment="1">
      <alignment/>
    </xf>
    <xf numFmtId="0" fontId="25" fillId="0" borderId="0" xfId="0" applyFont="1" applyBorder="1" applyAlignment="1">
      <alignment horizontal="left" vertical="center" wrapText="1"/>
    </xf>
    <xf numFmtId="0" fontId="9" fillId="0" borderId="37" xfId="0" applyFont="1" applyFill="1" applyBorder="1" applyAlignment="1" applyProtection="1">
      <alignment horizontal="center" vertical="center"/>
      <protection/>
    </xf>
    <xf numFmtId="0" fontId="9" fillId="0" borderId="37" xfId="0" applyFont="1" applyBorder="1" applyAlignment="1">
      <alignment horizontal="center" vertical="center" wrapText="1"/>
    </xf>
    <xf numFmtId="0" fontId="6" fillId="0" borderId="37" xfId="0" applyFont="1" applyBorder="1" applyAlignment="1">
      <alignment horizontal="center" vertical="center" wrapText="1"/>
    </xf>
    <xf numFmtId="0" fontId="9" fillId="0" borderId="37" xfId="0" applyFont="1" applyFill="1" applyBorder="1" applyAlignment="1" applyProtection="1">
      <alignment horizontal="center" vertical="center" wrapText="1"/>
      <protection/>
    </xf>
    <xf numFmtId="0" fontId="23" fillId="0" borderId="37" xfId="0" applyFont="1" applyFill="1" applyBorder="1" applyAlignment="1" applyProtection="1">
      <alignment horizontal="center" vertical="center" wrapText="1"/>
      <protection/>
    </xf>
    <xf numFmtId="0" fontId="21" fillId="0" borderId="37" xfId="0" applyFont="1" applyFill="1" applyBorder="1" applyAlignment="1" applyProtection="1">
      <alignment horizontal="center" vertical="center" wrapText="1"/>
      <protection/>
    </xf>
    <xf numFmtId="0" fontId="85" fillId="0" borderId="37" xfId="0" applyFont="1" applyFill="1" applyBorder="1" applyAlignment="1" applyProtection="1">
      <alignment horizontal="center" vertical="center" wrapText="1"/>
      <protection/>
    </xf>
    <xf numFmtId="207" fontId="6" fillId="0" borderId="37" xfId="0" applyNumberFormat="1" applyFont="1" applyFill="1" applyBorder="1" applyAlignment="1" applyProtection="1">
      <alignment horizontal="center"/>
      <protection/>
    </xf>
    <xf numFmtId="207" fontId="6" fillId="0" borderId="37" xfId="47" applyNumberFormat="1" applyFont="1" applyBorder="1" applyAlignment="1">
      <alignment/>
    </xf>
    <xf numFmtId="206" fontId="6" fillId="0" borderId="37" xfId="0" applyNumberFormat="1" applyFont="1" applyBorder="1" applyAlignment="1">
      <alignment/>
    </xf>
    <xf numFmtId="206" fontId="9" fillId="0" borderId="37" xfId="0" applyNumberFormat="1" applyFont="1" applyBorder="1" applyAlignment="1">
      <alignment/>
    </xf>
    <xf numFmtId="206" fontId="86" fillId="0" borderId="37" xfId="0" applyNumberFormat="1" applyFont="1" applyBorder="1" applyAlignment="1">
      <alignment/>
    </xf>
    <xf numFmtId="0" fontId="19" fillId="0" borderId="136" xfId="80" applyFont="1" applyFill="1" applyBorder="1" applyAlignment="1" applyProtection="1">
      <alignment horizontal="centerContinuous" vertical="center"/>
      <protection/>
    </xf>
    <xf numFmtId="3" fontId="6" fillId="0" borderId="55" xfId="80" applyNumberFormat="1" applyFont="1" applyFill="1" applyBorder="1" applyProtection="1">
      <alignment/>
      <protection locked="0"/>
    </xf>
    <xf numFmtId="3" fontId="6" fillId="0" borderId="137" xfId="80" applyNumberFormat="1" applyFont="1" applyFill="1" applyBorder="1" applyProtection="1">
      <alignment/>
      <protection locked="0"/>
    </xf>
    <xf numFmtId="200" fontId="6" fillId="24" borderId="126" xfId="80" applyNumberFormat="1" applyFont="1" applyFill="1" applyBorder="1">
      <alignment/>
      <protection/>
    </xf>
    <xf numFmtId="0" fontId="19" fillId="0" borderId="138" xfId="80" applyFont="1" applyFill="1" applyBorder="1" applyAlignment="1" applyProtection="1">
      <alignment horizontal="centerContinuous" vertical="center"/>
      <protection/>
    </xf>
    <xf numFmtId="0" fontId="20" fillId="0" borderId="34" xfId="80" applyFont="1" applyFill="1" applyBorder="1" applyAlignment="1" applyProtection="1">
      <alignment horizontal="center"/>
      <protection/>
    </xf>
    <xf numFmtId="3" fontId="6" fillId="0" borderId="39" xfId="80" applyNumberFormat="1" applyFont="1" applyFill="1" applyBorder="1" applyProtection="1">
      <alignment/>
      <protection locked="0"/>
    </xf>
    <xf numFmtId="3" fontId="6" fillId="0" borderId="114" xfId="80" applyNumberFormat="1" applyFont="1" applyFill="1" applyBorder="1" applyProtection="1">
      <alignment/>
      <protection locked="0"/>
    </xf>
    <xf numFmtId="200" fontId="6" fillId="24" borderId="51" xfId="80" applyNumberFormat="1" applyFont="1" applyFill="1" applyBorder="1">
      <alignment/>
      <protection/>
    </xf>
    <xf numFmtId="3" fontId="6" fillId="0" borderId="139" xfId="80" applyNumberFormat="1" applyFont="1" applyFill="1" applyBorder="1" applyProtection="1">
      <alignment/>
      <protection locked="0"/>
    </xf>
    <xf numFmtId="0" fontId="20" fillId="0" borderId="140" xfId="80" applyFont="1" applyFill="1" applyBorder="1" applyAlignment="1" applyProtection="1">
      <alignment horizontal="center"/>
      <protection/>
    </xf>
    <xf numFmtId="200" fontId="6" fillId="24" borderId="129" xfId="80" applyNumberFormat="1" applyFont="1" applyFill="1" applyBorder="1">
      <alignment/>
      <protection/>
    </xf>
    <xf numFmtId="200" fontId="6" fillId="24" borderId="141" xfId="80" applyNumberFormat="1" applyFont="1" applyFill="1" applyBorder="1">
      <alignment/>
      <protection/>
    </xf>
    <xf numFmtId="0" fontId="14" fillId="0" borderId="23" xfId="75" applyFont="1" applyFill="1" applyBorder="1" applyAlignment="1" applyProtection="1">
      <alignment horizontal="center" vertical="center"/>
      <protection/>
    </xf>
    <xf numFmtId="0" fontId="14" fillId="0" borderId="23" xfId="76" applyFont="1" applyFill="1" applyBorder="1" applyAlignment="1" applyProtection="1">
      <alignment horizontal="center" vertical="center"/>
      <protection/>
    </xf>
    <xf numFmtId="0" fontId="20" fillId="0" borderId="85" xfId="75" applyFont="1" applyFill="1" applyBorder="1" applyAlignment="1" applyProtection="1">
      <alignment horizontal="center"/>
      <protection/>
    </xf>
    <xf numFmtId="0" fontId="20" fillId="0" borderId="142" xfId="75" applyFont="1" applyFill="1" applyBorder="1" applyAlignment="1" applyProtection="1">
      <alignment horizontal="center"/>
      <protection/>
    </xf>
    <xf numFmtId="0" fontId="20" fillId="0" borderId="143" xfId="75" applyFont="1" applyFill="1" applyBorder="1" applyAlignment="1" applyProtection="1">
      <alignment horizontal="center"/>
      <protection/>
    </xf>
    <xf numFmtId="0" fontId="20" fillId="0" borderId="85" xfId="76" applyFont="1" applyFill="1" applyBorder="1" applyAlignment="1" applyProtection="1">
      <alignment horizontal="center"/>
      <protection/>
    </xf>
    <xf numFmtId="0" fontId="20" fillId="0" borderId="142" xfId="76" applyFont="1" applyFill="1" applyBorder="1" applyAlignment="1" applyProtection="1">
      <alignment horizontal="center"/>
      <protection/>
    </xf>
    <xf numFmtId="0" fontId="20" fillId="0" borderId="143" xfId="76" applyFont="1" applyFill="1" applyBorder="1" applyAlignment="1" applyProtection="1">
      <alignment horizontal="center"/>
      <protection/>
    </xf>
    <xf numFmtId="0" fontId="0" fillId="0" borderId="0" xfId="0" applyFill="1" applyAlignment="1" applyProtection="1">
      <alignment vertical="top"/>
      <protection/>
    </xf>
    <xf numFmtId="0" fontId="8" fillId="0" borderId="0" xfId="0" applyFont="1" applyFill="1" applyAlignment="1" applyProtection="1">
      <alignment horizontal="center" vertical="top"/>
      <protection/>
    </xf>
    <xf numFmtId="173" fontId="13" fillId="0" borderId="0" xfId="72" applyFont="1" applyFill="1" applyAlignment="1" applyProtection="1">
      <alignment vertical="center" wrapText="1"/>
      <protection/>
    </xf>
    <xf numFmtId="0" fontId="19" fillId="0" borderId="118" xfId="0" applyFont="1" applyFill="1" applyBorder="1" applyAlignment="1" applyProtection="1">
      <alignment horizontal="center" vertical="center" wrapText="1"/>
      <protection/>
    </xf>
    <xf numFmtId="0" fontId="19" fillId="0" borderId="118" xfId="0" applyFont="1" applyFill="1" applyBorder="1" applyAlignment="1">
      <alignment horizontal="center" vertical="center" wrapText="1"/>
    </xf>
    <xf numFmtId="49" fontId="17" fillId="22" borderId="64" xfId="72" applyNumberFormat="1" applyFont="1" applyFill="1" applyBorder="1" applyAlignment="1" applyProtection="1">
      <alignment horizontal="left" vertical="center"/>
      <protection locked="0"/>
    </xf>
    <xf numFmtId="49" fontId="17" fillId="22" borderId="37" xfId="72" applyNumberFormat="1" applyFont="1" applyFill="1" applyBorder="1" applyAlignment="1" applyProtection="1">
      <alignment horizontal="left" vertical="center"/>
      <protection locked="0"/>
    </xf>
    <xf numFmtId="49" fontId="17" fillId="22" borderId="52" xfId="69" applyNumberFormat="1" applyFont="1" applyFill="1" applyBorder="1" applyAlignment="1" applyProtection="1">
      <alignment horizontal="left" vertical="center"/>
      <protection locked="0"/>
    </xf>
    <xf numFmtId="49" fontId="17" fillId="22" borderId="64" xfId="0" applyNumberFormat="1" applyFont="1" applyFill="1" applyBorder="1" applyAlignment="1" applyProtection="1">
      <alignment horizontal="left" vertical="center"/>
      <protection locked="0"/>
    </xf>
    <xf numFmtId="49" fontId="17" fillId="22" borderId="37" xfId="69" applyNumberFormat="1" applyFont="1" applyFill="1" applyBorder="1" applyAlignment="1" applyProtection="1">
      <alignment horizontal="left" vertical="center"/>
      <protection locked="0"/>
    </xf>
    <xf numFmtId="49" fontId="11" fillId="22" borderId="60" xfId="36" applyNumberFormat="1" applyFill="1" applyBorder="1" applyAlignment="1" applyProtection="1">
      <alignment horizontal="left" vertical="center"/>
      <protection locked="0"/>
    </xf>
    <xf numFmtId="49" fontId="17" fillId="22" borderId="37" xfId="0" applyNumberFormat="1" applyFont="1" applyFill="1" applyBorder="1" applyAlignment="1" applyProtection="1">
      <alignment horizontal="left"/>
      <protection locked="0"/>
    </xf>
    <xf numFmtId="0" fontId="6" fillId="0" borderId="109" xfId="80" applyFont="1" applyFill="1" applyBorder="1" applyAlignment="1" applyProtection="1">
      <alignment horizontal="center"/>
      <protection/>
    </xf>
    <xf numFmtId="0" fontId="15" fillId="0" borderId="37" xfId="0" applyFont="1" applyFill="1" applyBorder="1" applyAlignment="1" applyProtection="1">
      <alignment horizontal="center" vertical="center" wrapText="1"/>
      <protection/>
    </xf>
    <xf numFmtId="0" fontId="6" fillId="0" borderId="46" xfId="0" applyFont="1" applyFill="1" applyBorder="1" applyAlignment="1">
      <alignment horizontal="centerContinuous" vertical="center" wrapText="1"/>
    </xf>
    <xf numFmtId="0" fontId="31" fillId="0" borderId="37" xfId="0" applyFont="1" applyBorder="1" applyAlignment="1">
      <alignment/>
    </xf>
    <xf numFmtId="0" fontId="141" fillId="0" borderId="37" xfId="0" applyFont="1" applyBorder="1" applyAlignment="1">
      <alignment/>
    </xf>
    <xf numFmtId="0" fontId="23" fillId="0" borderId="50" xfId="0" applyFont="1" applyBorder="1" applyAlignment="1">
      <alignment/>
    </xf>
    <xf numFmtId="0" fontId="14" fillId="0" borderId="98" xfId="0" applyFont="1" applyBorder="1" applyAlignment="1">
      <alignment horizontal="center" vertical="center" wrapText="1"/>
    </xf>
    <xf numFmtId="0" fontId="14" fillId="0" borderId="144" xfId="0" applyFont="1" applyBorder="1" applyAlignment="1">
      <alignment horizontal="center" vertical="center" wrapText="1"/>
    </xf>
    <xf numFmtId="0" fontId="14" fillId="0" borderId="145" xfId="0" applyFont="1" applyBorder="1" applyAlignment="1">
      <alignment horizontal="center" vertical="center" wrapText="1"/>
    </xf>
    <xf numFmtId="0" fontId="14" fillId="0" borderId="146" xfId="0" applyFont="1" applyBorder="1" applyAlignment="1">
      <alignment horizontal="center" vertical="center" wrapText="1"/>
    </xf>
    <xf numFmtId="0" fontId="23" fillId="0" borderId="147" xfId="0" applyFont="1" applyBorder="1" applyAlignment="1">
      <alignment/>
    </xf>
    <xf numFmtId="0" fontId="6" fillId="0" borderId="57" xfId="0" applyFont="1" applyBorder="1" applyAlignment="1">
      <alignment horizontal="center"/>
    </xf>
    <xf numFmtId="0" fontId="6" fillId="0" borderId="42" xfId="0" applyFont="1" applyFill="1" applyBorder="1" applyAlignment="1" applyProtection="1">
      <alignment horizontal="justify" wrapText="1"/>
      <protection/>
    </xf>
    <xf numFmtId="0" fontId="6" fillId="0" borderId="50" xfId="0" applyFont="1" applyFill="1" applyBorder="1" applyAlignment="1" applyProtection="1">
      <alignment horizontal="justify" wrapText="1"/>
      <protection/>
    </xf>
    <xf numFmtId="0" fontId="0" fillId="0" borderId="0" xfId="0" applyNumberFormat="1" applyAlignment="1">
      <alignment/>
    </xf>
    <xf numFmtId="0" fontId="6" fillId="0" borderId="61" xfId="0" applyFont="1" applyFill="1" applyBorder="1" applyAlignment="1" applyProtection="1">
      <alignment horizontal="justify" wrapText="1"/>
      <protection/>
    </xf>
    <xf numFmtId="173" fontId="13" fillId="0" borderId="0" xfId="72" applyFont="1" applyFill="1" applyAlignment="1" applyProtection="1">
      <alignment horizontal="left" vertical="center"/>
      <protection/>
    </xf>
    <xf numFmtId="173" fontId="22" fillId="0" borderId="0" xfId="72" applyFont="1" applyAlignment="1" applyProtection="1">
      <alignment vertical="center" wrapText="1"/>
      <protection/>
    </xf>
    <xf numFmtId="0" fontId="13" fillId="0" borderId="0" xfId="70" applyFont="1" applyAlignment="1" applyProtection="1">
      <alignment vertical="center"/>
      <protection/>
    </xf>
    <xf numFmtId="173" fontId="13" fillId="0" borderId="0" xfId="72" applyFont="1" applyAlignment="1" applyProtection="1">
      <alignment vertical="center"/>
      <protection/>
    </xf>
    <xf numFmtId="173" fontId="13" fillId="0" borderId="0" xfId="72" applyFont="1" applyAlignment="1" applyProtection="1">
      <alignment horizontal="right" vertical="center"/>
      <protection/>
    </xf>
    <xf numFmtId="173" fontId="13" fillId="0" borderId="0" xfId="72" applyFont="1" applyFill="1" applyBorder="1" applyAlignment="1" applyProtection="1">
      <alignment horizontal="right" vertical="center"/>
      <protection/>
    </xf>
    <xf numFmtId="173" fontId="82" fillId="0" borderId="0" xfId="72" applyFont="1" applyFill="1" applyAlignment="1" applyProtection="1">
      <alignment horizontal="left" vertical="center"/>
      <protection/>
    </xf>
    <xf numFmtId="173" fontId="82" fillId="0" borderId="0" xfId="72" applyFont="1" applyAlignment="1" applyProtection="1">
      <alignment horizontal="right" vertical="center"/>
      <protection/>
    </xf>
    <xf numFmtId="173" fontId="82" fillId="0" borderId="0" xfId="72" applyFont="1" applyFill="1" applyBorder="1" applyAlignment="1" applyProtection="1">
      <alignment horizontal="right" vertical="center"/>
      <protection/>
    </xf>
    <xf numFmtId="173" fontId="82" fillId="0" borderId="0" xfId="72" applyFont="1" applyFill="1" applyBorder="1" applyAlignment="1" applyProtection="1">
      <alignment vertical="center"/>
      <protection/>
    </xf>
    <xf numFmtId="0" fontId="6" fillId="0" borderId="80" xfId="0" applyFont="1" applyFill="1" applyBorder="1" applyAlignment="1">
      <alignment horizontal="centerContinuous" vertical="center"/>
    </xf>
    <xf numFmtId="0" fontId="6" fillId="0" borderId="88" xfId="0" applyFont="1" applyFill="1" applyBorder="1" applyAlignment="1">
      <alignment horizontal="centerContinuous" vertical="center"/>
    </xf>
    <xf numFmtId="1" fontId="17" fillId="16" borderId="37" xfId="72" applyNumberFormat="1" applyFont="1" applyFill="1" applyBorder="1" applyAlignment="1" applyProtection="1">
      <alignment vertical="center"/>
      <protection/>
    </xf>
    <xf numFmtId="173" fontId="53" fillId="0" borderId="80" xfId="72" applyFont="1" applyBorder="1" applyAlignment="1" applyProtection="1">
      <alignment vertical="center" wrapText="1"/>
      <protection/>
    </xf>
    <xf numFmtId="173" fontId="91" fillId="0" borderId="80" xfId="72" applyFont="1" applyBorder="1" applyAlignment="1" applyProtection="1">
      <alignment vertical="center" wrapText="1"/>
      <protection/>
    </xf>
    <xf numFmtId="0" fontId="14" fillId="0" borderId="62" xfId="0" applyFont="1" applyBorder="1" applyAlignment="1">
      <alignment horizontal="center" vertical="center" wrapText="1"/>
    </xf>
    <xf numFmtId="0" fontId="9" fillId="0" borderId="72" xfId="0" applyFont="1" applyBorder="1" applyAlignment="1">
      <alignment horizontal="center" wrapText="1"/>
    </xf>
    <xf numFmtId="0" fontId="9" fillId="0" borderId="107" xfId="0" applyFont="1" applyBorder="1" applyAlignment="1">
      <alignment horizontal="center" wrapText="1"/>
    </xf>
    <xf numFmtId="0" fontId="9" fillId="0" borderId="148" xfId="0" applyFont="1" applyBorder="1" applyAlignment="1">
      <alignment horizontal="center" wrapText="1"/>
    </xf>
    <xf numFmtId="173" fontId="91" fillId="0" borderId="136" xfId="72" applyFont="1" applyBorder="1" applyAlignment="1" applyProtection="1">
      <alignment vertical="center" wrapText="1"/>
      <protection/>
    </xf>
    <xf numFmtId="3" fontId="7" fillId="24" borderId="83" xfId="0" applyNumberFormat="1" applyFont="1" applyFill="1" applyBorder="1" applyAlignment="1" applyProtection="1">
      <alignment wrapText="1"/>
      <protection locked="0"/>
    </xf>
    <xf numFmtId="3" fontId="6" fillId="0" borderId="89" xfId="76" applyNumberFormat="1" applyFont="1" applyFill="1" applyBorder="1" applyAlignment="1" applyProtection="1">
      <alignment/>
      <protection locked="0"/>
    </xf>
    <xf numFmtId="3" fontId="6" fillId="0" borderId="81" xfId="76" applyNumberFormat="1" applyFont="1" applyFill="1" applyBorder="1" applyAlignment="1" applyProtection="1">
      <alignment/>
      <protection locked="0"/>
    </xf>
    <xf numFmtId="3" fontId="6" fillId="0" borderId="127" xfId="76" applyNumberFormat="1" applyFont="1" applyFill="1" applyBorder="1" applyAlignment="1" applyProtection="1">
      <alignment/>
      <protection locked="0"/>
    </xf>
    <xf numFmtId="3" fontId="6" fillId="0" borderId="102" xfId="76" applyNumberFormat="1" applyFont="1" applyFill="1" applyBorder="1" applyAlignment="1" applyProtection="1">
      <alignment/>
      <protection locked="0"/>
    </xf>
    <xf numFmtId="3" fontId="6" fillId="0" borderId="101" xfId="76" applyNumberFormat="1" applyFont="1" applyFill="1" applyBorder="1" applyAlignment="1" applyProtection="1">
      <alignment/>
      <protection locked="0"/>
    </xf>
    <xf numFmtId="3" fontId="6" fillId="0" borderId="83" xfId="76" applyNumberFormat="1" applyFont="1" applyFill="1" applyBorder="1" applyAlignment="1" applyProtection="1">
      <alignment/>
      <protection locked="0"/>
    </xf>
    <xf numFmtId="3" fontId="6" fillId="0" borderId="79" xfId="76" applyNumberFormat="1" applyFont="1" applyFill="1" applyBorder="1" applyAlignment="1" applyProtection="1">
      <alignment/>
      <protection locked="0"/>
    </xf>
    <xf numFmtId="3" fontId="6" fillId="0" borderId="137" xfId="76" applyNumberFormat="1" applyFont="1" applyFill="1" applyBorder="1" applyAlignment="1" applyProtection="1">
      <alignment/>
      <protection locked="0"/>
    </xf>
    <xf numFmtId="3" fontId="6" fillId="0" borderId="60" xfId="76" applyNumberFormat="1" applyFont="1" applyFill="1" applyBorder="1" applyAlignment="1" applyProtection="1">
      <alignment/>
      <protection locked="0"/>
    </xf>
    <xf numFmtId="3" fontId="6" fillId="0" borderId="64" xfId="76" applyNumberFormat="1" applyFont="1" applyFill="1" applyBorder="1" applyAlignment="1" applyProtection="1">
      <alignment/>
      <protection locked="0"/>
    </xf>
    <xf numFmtId="3" fontId="6" fillId="0" borderId="66" xfId="76" applyNumberFormat="1" applyFont="1" applyFill="1" applyBorder="1" applyAlignment="1" applyProtection="1">
      <alignment/>
      <protection locked="0"/>
    </xf>
    <xf numFmtId="3" fontId="6" fillId="0" borderId="49" xfId="76" applyNumberFormat="1" applyFont="1" applyFill="1" applyBorder="1" applyAlignment="1" applyProtection="1">
      <alignment/>
      <protection locked="0"/>
    </xf>
    <xf numFmtId="3" fontId="6" fillId="0" borderId="68" xfId="76" applyNumberFormat="1" applyFont="1" applyFill="1" applyBorder="1" applyAlignment="1" applyProtection="1">
      <alignment/>
      <protection locked="0"/>
    </xf>
    <xf numFmtId="3" fontId="6" fillId="0" borderId="80" xfId="76" applyNumberFormat="1" applyFont="1" applyFill="1" applyBorder="1" applyAlignment="1" applyProtection="1">
      <alignment/>
      <protection locked="0"/>
    </xf>
    <xf numFmtId="3" fontId="6" fillId="0" borderId="82" xfId="76" applyNumberFormat="1" applyFont="1" applyFill="1" applyBorder="1" applyAlignment="1" applyProtection="1">
      <alignment/>
      <protection locked="0"/>
    </xf>
    <xf numFmtId="3" fontId="6" fillId="0" borderId="89" xfId="0" applyNumberFormat="1" applyFont="1" applyBorder="1" applyAlignment="1" applyProtection="1">
      <alignment/>
      <protection locked="0"/>
    </xf>
    <xf numFmtId="3" fontId="6" fillId="0" borderId="81" xfId="0" applyNumberFormat="1" applyFont="1" applyFill="1" applyBorder="1" applyAlignment="1" applyProtection="1">
      <alignment/>
      <protection locked="0"/>
    </xf>
    <xf numFmtId="3" fontId="6" fillId="0" borderId="68" xfId="0" applyNumberFormat="1" applyFont="1" applyBorder="1" applyAlignment="1" applyProtection="1">
      <alignment/>
      <protection locked="0"/>
    </xf>
    <xf numFmtId="3" fontId="6" fillId="0" borderId="140" xfId="0" applyNumberFormat="1" applyFont="1" applyBorder="1" applyAlignment="1" applyProtection="1">
      <alignment/>
      <protection locked="0"/>
    </xf>
    <xf numFmtId="3" fontId="6" fillId="0" borderId="99" xfId="0" applyNumberFormat="1" applyFont="1" applyFill="1" applyBorder="1" applyAlignment="1" applyProtection="1">
      <alignment/>
      <protection locked="0"/>
    </xf>
    <xf numFmtId="3" fontId="6" fillId="0" borderId="83" xfId="0" applyNumberFormat="1" applyFont="1" applyBorder="1" applyAlignment="1" applyProtection="1">
      <alignment/>
      <protection locked="0"/>
    </xf>
    <xf numFmtId="3" fontId="6" fillId="0" borderId="37" xfId="0" applyNumberFormat="1" applyFont="1" applyBorder="1" applyAlignment="1">
      <alignment horizontal="center"/>
    </xf>
    <xf numFmtId="3" fontId="6" fillId="0" borderId="57" xfId="0" applyNumberFormat="1" applyFont="1" applyBorder="1" applyAlignment="1">
      <alignment horizontal="center"/>
    </xf>
    <xf numFmtId="3" fontId="6" fillId="0" borderId="37" xfId="47" applyNumberFormat="1" applyFont="1" applyBorder="1" applyAlignment="1">
      <alignment/>
    </xf>
    <xf numFmtId="0" fontId="142" fillId="0" borderId="0" xfId="0" applyFont="1" applyAlignment="1" applyProtection="1">
      <alignment horizontal="left" vertical="top"/>
      <protection/>
    </xf>
    <xf numFmtId="0" fontId="9" fillId="0" borderId="52" xfId="0" applyFont="1" applyBorder="1" applyAlignment="1">
      <alignment horizontal="center"/>
    </xf>
    <xf numFmtId="0" fontId="6" fillId="0" borderId="52" xfId="0" applyFont="1" applyFill="1" applyBorder="1" applyAlignment="1" applyProtection="1">
      <alignment horizontal="left"/>
      <protection/>
    </xf>
    <xf numFmtId="0" fontId="9" fillId="0" borderId="52" xfId="0" applyFont="1" applyFill="1" applyBorder="1" applyAlignment="1" applyProtection="1">
      <alignment horizontal="left"/>
      <protection/>
    </xf>
    <xf numFmtId="0" fontId="9" fillId="0" borderId="37" xfId="0" applyFont="1" applyFill="1" applyBorder="1" applyAlignment="1" applyProtection="1">
      <alignment horizontal="left"/>
      <protection/>
    </xf>
    <xf numFmtId="173" fontId="45" fillId="24" borderId="0" xfId="72" applyFont="1" applyFill="1" applyAlignment="1" applyProtection="1">
      <alignment vertical="center"/>
      <protection/>
    </xf>
    <xf numFmtId="0" fontId="0" fillId="0" borderId="0" xfId="0" applyFont="1" applyAlignment="1" applyProtection="1">
      <alignment/>
      <protection/>
    </xf>
    <xf numFmtId="0" fontId="6" fillId="0" borderId="0" xfId="0" applyFont="1" applyAlignment="1">
      <alignment horizontal="center" vertical="top"/>
    </xf>
    <xf numFmtId="0" fontId="5" fillId="0" borderId="0" xfId="0" applyFont="1" applyAlignment="1">
      <alignment horizontal="right" vertical="top"/>
    </xf>
    <xf numFmtId="0" fontId="6" fillId="25" borderId="40" xfId="0" applyFont="1" applyFill="1" applyBorder="1" applyAlignment="1">
      <alignment/>
    </xf>
    <xf numFmtId="0" fontId="6" fillId="25" borderId="38" xfId="0" applyFont="1" applyFill="1" applyBorder="1" applyAlignment="1">
      <alignment/>
    </xf>
    <xf numFmtId="0" fontId="9" fillId="25" borderId="149" xfId="0" applyFont="1" applyFill="1" applyBorder="1" applyAlignment="1">
      <alignment horizontal="centerContinuous" vertical="center" wrapText="1"/>
    </xf>
    <xf numFmtId="0" fontId="9" fillId="25" borderId="46" xfId="0" applyFont="1" applyFill="1" applyBorder="1" applyAlignment="1" applyProtection="1">
      <alignment horizontal="centerContinuous" vertical="center" wrapText="1"/>
      <protection/>
    </xf>
    <xf numFmtId="0" fontId="20" fillId="0" borderId="0" xfId="0" applyFont="1" applyAlignment="1">
      <alignment horizontal="center" vertical="top"/>
    </xf>
    <xf numFmtId="0" fontId="20" fillId="25" borderId="23" xfId="0" applyFont="1" applyFill="1" applyBorder="1" applyAlignment="1" applyProtection="1">
      <alignment horizontal="center"/>
      <protection/>
    </xf>
    <xf numFmtId="0" fontId="20" fillId="25" borderId="43" xfId="0" applyFont="1" applyFill="1" applyBorder="1" applyAlignment="1" applyProtection="1">
      <alignment horizontal="center"/>
      <protection/>
    </xf>
    <xf numFmtId="0" fontId="143" fillId="0" borderId="0" xfId="0" applyFont="1" applyAlignment="1">
      <alignment horizontal="center" vertical="center"/>
    </xf>
    <xf numFmtId="200" fontId="6" fillId="25" borderId="121" xfId="0" applyNumberFormat="1" applyFont="1" applyFill="1" applyBorder="1" applyAlignment="1">
      <alignment/>
    </xf>
    <xf numFmtId="200" fontId="6" fillId="25" borderId="125" xfId="0" applyNumberFormat="1" applyFont="1" applyFill="1" applyBorder="1" applyAlignment="1">
      <alignment/>
    </xf>
    <xf numFmtId="200" fontId="6" fillId="25" borderId="50" xfId="0" applyNumberFormat="1" applyFont="1" applyFill="1" applyBorder="1" applyAlignment="1">
      <alignment/>
    </xf>
    <xf numFmtId="200" fontId="6" fillId="25" borderId="72" xfId="0" applyNumberFormat="1" applyFont="1" applyFill="1" applyBorder="1" applyAlignment="1">
      <alignment/>
    </xf>
    <xf numFmtId="200" fontId="6" fillId="25" borderId="147" xfId="0" applyNumberFormat="1" applyFont="1" applyFill="1" applyBorder="1" applyAlignment="1">
      <alignment/>
    </xf>
    <xf numFmtId="200" fontId="6" fillId="25" borderId="107" xfId="0" applyNumberFormat="1" applyFont="1" applyFill="1" applyBorder="1" applyAlignment="1">
      <alignment/>
    </xf>
    <xf numFmtId="200" fontId="6" fillId="25" borderId="74" xfId="0" applyNumberFormat="1" applyFont="1" applyFill="1" applyBorder="1" applyAlignment="1" applyProtection="1">
      <alignment/>
      <protection/>
    </xf>
    <xf numFmtId="200" fontId="6" fillId="25" borderId="76" xfId="0" applyNumberFormat="1" applyFont="1" applyFill="1" applyBorder="1" applyAlignment="1" applyProtection="1">
      <alignment/>
      <protection/>
    </xf>
    <xf numFmtId="0" fontId="22" fillId="0" borderId="0" xfId="0" applyFont="1" applyAlignment="1">
      <alignment wrapText="1"/>
    </xf>
    <xf numFmtId="0" fontId="17" fillId="0" borderId="121" xfId="0" applyFont="1" applyFill="1" applyBorder="1" applyAlignment="1" applyProtection="1">
      <alignment horizontal="left" vertical="center" wrapText="1"/>
      <protection/>
    </xf>
    <xf numFmtId="3" fontId="6" fillId="24" borderId="122" xfId="0" applyNumberFormat="1" applyFont="1" applyFill="1" applyBorder="1" applyAlignment="1">
      <alignment horizontal="center" vertical="center"/>
    </xf>
    <xf numFmtId="0" fontId="17" fillId="0" borderId="50" xfId="0" applyFont="1" applyFill="1" applyBorder="1" applyAlignment="1" applyProtection="1">
      <alignment horizontal="left" vertical="center" wrapText="1"/>
      <protection/>
    </xf>
    <xf numFmtId="3" fontId="6" fillId="24" borderId="37" xfId="0" applyNumberFormat="1" applyFont="1" applyFill="1" applyBorder="1" applyAlignment="1">
      <alignment horizontal="center" vertical="center"/>
    </xf>
    <xf numFmtId="0" fontId="17" fillId="0" borderId="61" xfId="0" applyFont="1" applyFill="1" applyBorder="1" applyAlignment="1" applyProtection="1">
      <alignment horizontal="left" vertical="center" wrapText="1"/>
      <protection/>
    </xf>
    <xf numFmtId="3" fontId="6" fillId="24" borderId="53" xfId="0" applyNumberFormat="1" applyFont="1" applyFill="1" applyBorder="1" applyAlignment="1">
      <alignment horizontal="center" vertical="center"/>
    </xf>
    <xf numFmtId="0" fontId="14" fillId="0" borderId="74" xfId="0" applyFont="1" applyBorder="1" applyAlignment="1">
      <alignment horizontal="center" vertical="center" wrapText="1"/>
    </xf>
    <xf numFmtId="0" fontId="14" fillId="0" borderId="75" xfId="0" applyFont="1" applyBorder="1" applyAlignment="1">
      <alignment horizontal="center" vertical="center" wrapText="1"/>
    </xf>
    <xf numFmtId="0" fontId="14" fillId="0" borderId="76" xfId="0" applyFont="1" applyBorder="1" applyAlignment="1">
      <alignment horizontal="center" vertical="center" wrapText="1"/>
    </xf>
    <xf numFmtId="0" fontId="6" fillId="0" borderId="21" xfId="0" applyFont="1" applyFill="1" applyBorder="1" applyAlignment="1" applyProtection="1">
      <alignment horizontal="left" vertical="center" wrapText="1"/>
      <protection/>
    </xf>
    <xf numFmtId="3" fontId="6" fillId="24" borderId="52" xfId="0" applyNumberFormat="1" applyFont="1" applyFill="1" applyBorder="1" applyAlignment="1">
      <alignment horizontal="center" vertical="center"/>
    </xf>
    <xf numFmtId="3" fontId="6" fillId="0" borderId="52" xfId="0" applyNumberFormat="1" applyFont="1" applyBorder="1" applyAlignment="1">
      <alignment horizontal="center" vertical="center"/>
    </xf>
    <xf numFmtId="0" fontId="6" fillId="0" borderId="61" xfId="0" applyFont="1" applyFill="1" applyBorder="1" applyAlignment="1" applyProtection="1">
      <alignment horizontal="left" vertical="center" wrapText="1"/>
      <protection/>
    </xf>
    <xf numFmtId="3" fontId="6" fillId="0" borderId="53" xfId="0" applyNumberFormat="1" applyFont="1" applyBorder="1" applyAlignment="1">
      <alignment horizontal="center" vertical="center"/>
    </xf>
    <xf numFmtId="173" fontId="8" fillId="0" borderId="0" xfId="72" applyFont="1" applyAlignment="1" applyProtection="1">
      <alignment vertical="center"/>
      <protection/>
    </xf>
    <xf numFmtId="173" fontId="17" fillId="0" borderId="0" xfId="72" applyFont="1" applyAlignment="1" applyProtection="1">
      <alignment vertical="center"/>
      <protection/>
    </xf>
    <xf numFmtId="173" fontId="6" fillId="0" borderId="80" xfId="72" applyFont="1" applyBorder="1" applyAlignment="1" applyProtection="1">
      <alignment vertical="center"/>
      <protection/>
    </xf>
    <xf numFmtId="173" fontId="6" fillId="0" borderId="0" xfId="72" applyFont="1" applyAlignment="1" applyProtection="1">
      <alignment horizontal="left" vertical="center"/>
      <protection/>
    </xf>
    <xf numFmtId="49" fontId="17" fillId="0" borderId="37" xfId="72" applyNumberFormat="1" applyFont="1" applyFill="1" applyBorder="1" applyAlignment="1" applyProtection="1">
      <alignment horizontal="left" vertical="center"/>
      <protection locked="0"/>
    </xf>
    <xf numFmtId="49" fontId="11" fillId="0" borderId="60" xfId="36" applyNumberFormat="1" applyFill="1" applyBorder="1" applyAlignment="1" applyProtection="1">
      <alignment horizontal="left" vertical="center"/>
      <protection locked="0"/>
    </xf>
    <xf numFmtId="49" fontId="17" fillId="0" borderId="37" xfId="0" applyNumberFormat="1" applyFont="1" applyFill="1" applyBorder="1" applyAlignment="1" applyProtection="1">
      <alignment horizontal="left"/>
      <protection locked="0"/>
    </xf>
    <xf numFmtId="173" fontId="17" fillId="0" borderId="0" xfId="72" applyFont="1" applyAlignment="1" applyProtection="1">
      <alignment horizontal="left" vertical="center"/>
      <protection/>
    </xf>
    <xf numFmtId="173" fontId="17" fillId="0" borderId="0" xfId="72" applyFont="1" applyBorder="1" applyAlignment="1" applyProtection="1">
      <alignment vertical="center"/>
      <protection/>
    </xf>
    <xf numFmtId="0" fontId="0" fillId="0" borderId="0" xfId="0" applyAlignment="1" applyProtection="1">
      <alignment/>
      <protection/>
    </xf>
    <xf numFmtId="0" fontId="9" fillId="26" borderId="74" xfId="0" applyFont="1" applyFill="1" applyBorder="1" applyAlignment="1" applyProtection="1">
      <alignment horizontal="center" vertical="center"/>
      <protection/>
    </xf>
    <xf numFmtId="0" fontId="9" fillId="26" borderId="75" xfId="0" applyFont="1" applyFill="1" applyBorder="1" applyAlignment="1" applyProtection="1">
      <alignment horizontal="center" vertical="center" wrapText="1"/>
      <protection/>
    </xf>
    <xf numFmtId="0" fontId="6" fillId="0" borderId="21" xfId="0" applyFont="1" applyFill="1" applyBorder="1" applyAlignment="1" applyProtection="1">
      <alignment horizontal="justify" wrapText="1"/>
      <protection/>
    </xf>
    <xf numFmtId="3" fontId="17" fillId="0" borderId="52" xfId="0" applyNumberFormat="1" applyFont="1" applyFill="1" applyBorder="1" applyAlignment="1" applyProtection="1">
      <alignment vertical="center"/>
      <protection/>
    </xf>
    <xf numFmtId="0" fontId="23" fillId="0" borderId="0" xfId="0" applyFont="1" applyAlignment="1" applyProtection="1">
      <alignment/>
      <protection/>
    </xf>
    <xf numFmtId="0" fontId="23" fillId="0" borderId="0" xfId="0" applyFont="1" applyAlignment="1" applyProtection="1">
      <alignment/>
      <protection/>
    </xf>
    <xf numFmtId="3" fontId="17" fillId="0" borderId="37" xfId="0" applyNumberFormat="1" applyFont="1" applyFill="1" applyBorder="1" applyAlignment="1" applyProtection="1">
      <alignment vertical="center"/>
      <protection/>
    </xf>
    <xf numFmtId="3" fontId="17" fillId="0" borderId="52" xfId="0" applyNumberFormat="1" applyFont="1" applyFill="1" applyBorder="1" applyAlignment="1" applyProtection="1">
      <alignment/>
      <protection locked="0"/>
    </xf>
    <xf numFmtId="0" fontId="17" fillId="0" borderId="70" xfId="0" applyNumberFormat="1" applyFont="1" applyFill="1" applyBorder="1" applyAlignment="1" applyProtection="1">
      <alignment/>
      <protection locked="0"/>
    </xf>
    <xf numFmtId="4" fontId="6" fillId="0" borderId="50" xfId="0" applyNumberFormat="1" applyFont="1" applyFill="1" applyBorder="1" applyAlignment="1" applyProtection="1">
      <alignment horizontal="justify"/>
      <protection/>
    </xf>
    <xf numFmtId="3" fontId="17" fillId="0" borderId="37" xfId="0" applyNumberFormat="1" applyFont="1" applyFill="1" applyBorder="1" applyAlignment="1" applyProtection="1">
      <alignment/>
      <protection locked="0"/>
    </xf>
    <xf numFmtId="0" fontId="17" fillId="0" borderId="71" xfId="0" applyNumberFormat="1" applyFont="1" applyFill="1" applyBorder="1" applyAlignment="1" applyProtection="1">
      <alignment/>
      <protection locked="0"/>
    </xf>
    <xf numFmtId="3" fontId="17" fillId="0" borderId="37" xfId="0" applyNumberFormat="1" applyFont="1" applyFill="1" applyBorder="1" applyAlignment="1" applyProtection="1">
      <alignment horizontal="right" vertical="center"/>
      <protection/>
    </xf>
    <xf numFmtId="0" fontId="6" fillId="0" borderId="0" xfId="0" applyFont="1" applyAlignment="1" applyProtection="1">
      <alignment/>
      <protection/>
    </xf>
    <xf numFmtId="0" fontId="6" fillId="0" borderId="50" xfId="0" applyFont="1" applyFill="1" applyBorder="1" applyAlignment="1" applyProtection="1">
      <alignment horizontal="justify"/>
      <protection/>
    </xf>
    <xf numFmtId="3" fontId="17" fillId="0" borderId="53" xfId="0" applyNumberFormat="1" applyFont="1" applyFill="1" applyBorder="1" applyAlignment="1" applyProtection="1">
      <alignment vertical="center"/>
      <protection/>
    </xf>
    <xf numFmtId="3" fontId="17" fillId="0" borderId="53" xfId="0" applyNumberFormat="1" applyFont="1" applyFill="1" applyBorder="1" applyAlignment="1" applyProtection="1">
      <alignment/>
      <protection locked="0"/>
    </xf>
    <xf numFmtId="0" fontId="17" fillId="0" borderId="73" xfId="0" applyNumberFormat="1" applyFont="1" applyFill="1" applyBorder="1" applyAlignment="1" applyProtection="1">
      <alignment/>
      <protection locked="0"/>
    </xf>
    <xf numFmtId="0" fontId="22" fillId="0" borderId="74" xfId="0" applyFont="1" applyFill="1" applyBorder="1" applyAlignment="1" applyProtection="1">
      <alignment horizontal="center" vertical="center" wrapText="1"/>
      <protection/>
    </xf>
    <xf numFmtId="3" fontId="22" fillId="0" borderId="75" xfId="0" applyNumberFormat="1" applyFont="1" applyFill="1" applyBorder="1" applyAlignment="1" applyProtection="1">
      <alignment vertical="center"/>
      <protection/>
    </xf>
    <xf numFmtId="0" fontId="13" fillId="26" borderId="76" xfId="0" applyNumberFormat="1" applyFont="1" applyFill="1" applyBorder="1" applyAlignment="1" applyProtection="1">
      <alignment horizontal="center" vertical="center" wrapText="1"/>
      <protection/>
    </xf>
    <xf numFmtId="0" fontId="0" fillId="0" borderId="122" xfId="0" applyBorder="1" applyAlignment="1" applyProtection="1">
      <alignment/>
      <protection/>
    </xf>
    <xf numFmtId="0" fontId="0" fillId="0" borderId="125" xfId="0" applyNumberFormat="1" applyBorder="1" applyAlignment="1" applyProtection="1">
      <alignment/>
      <protection/>
    </xf>
    <xf numFmtId="0" fontId="6" fillId="0" borderId="37" xfId="0" applyFont="1" applyFill="1" applyBorder="1" applyAlignment="1" applyProtection="1">
      <alignment horizontal="justify" vertical="center" wrapText="1"/>
      <protection/>
    </xf>
    <xf numFmtId="0" fontId="13" fillId="26" borderId="76" xfId="0" applyNumberFormat="1" applyFont="1" applyFill="1" applyBorder="1" applyAlignment="1" applyProtection="1">
      <alignment horizontal="center" vertical="center"/>
      <protection/>
    </xf>
    <xf numFmtId="0" fontId="92" fillId="0" borderId="0" xfId="0" applyFont="1" applyAlignment="1" applyProtection="1">
      <alignment/>
      <protection/>
    </xf>
    <xf numFmtId="1" fontId="0" fillId="0" borderId="0" xfId="0" applyNumberFormat="1" applyAlignment="1" applyProtection="1">
      <alignment/>
      <protection/>
    </xf>
    <xf numFmtId="0" fontId="0" fillId="0" borderId="0" xfId="0" applyNumberFormat="1" applyAlignment="1" applyProtection="1">
      <alignment/>
      <protection/>
    </xf>
    <xf numFmtId="0" fontId="9" fillId="0" borderId="0" xfId="0" applyFont="1" applyAlignment="1">
      <alignment/>
    </xf>
    <xf numFmtId="0" fontId="144" fillId="0" borderId="0" xfId="0" applyFont="1" applyAlignment="1">
      <alignment/>
    </xf>
    <xf numFmtId="0" fontId="6" fillId="0" borderId="41" xfId="0" applyFont="1" applyFill="1" applyBorder="1" applyAlignment="1" applyProtection="1">
      <alignment horizontal="justify"/>
      <protection/>
    </xf>
    <xf numFmtId="0" fontId="17" fillId="0" borderId="52" xfId="0" applyFont="1" applyFill="1" applyBorder="1" applyAlignment="1" applyProtection="1">
      <alignment horizontal="center"/>
      <protection/>
    </xf>
    <xf numFmtId="0" fontId="6" fillId="0" borderId="0" xfId="0" applyFont="1" applyAlignment="1">
      <alignment horizontal="left"/>
    </xf>
    <xf numFmtId="0" fontId="0" fillId="0" borderId="0" xfId="0" applyFont="1" applyAlignment="1">
      <alignment horizontal="left"/>
    </xf>
    <xf numFmtId="0" fontId="94" fillId="0" borderId="0" xfId="0" applyFont="1" applyAlignment="1">
      <alignment wrapText="1"/>
    </xf>
    <xf numFmtId="0" fontId="0" fillId="0" borderId="0" xfId="0" applyFont="1" applyAlignment="1" applyProtection="1">
      <alignment horizontal="left"/>
      <protection locked="0"/>
    </xf>
    <xf numFmtId="3" fontId="6" fillId="0" borderId="89" xfId="76" applyNumberFormat="1" applyFont="1" applyFill="1" applyBorder="1" applyAlignment="1" applyProtection="1">
      <alignment/>
      <protection locked="0"/>
    </xf>
    <xf numFmtId="3" fontId="6" fillId="0" borderId="81" xfId="76" applyNumberFormat="1" applyFont="1" applyFill="1" applyBorder="1" applyAlignment="1" applyProtection="1">
      <alignment/>
      <protection locked="0"/>
    </xf>
    <xf numFmtId="3" fontId="6" fillId="0" borderId="127" xfId="76" applyNumberFormat="1" applyFont="1" applyFill="1" applyBorder="1" applyAlignment="1" applyProtection="1">
      <alignment/>
      <protection locked="0"/>
    </xf>
    <xf numFmtId="3" fontId="6" fillId="0" borderId="83" xfId="76" applyNumberFormat="1" applyFont="1" applyFill="1" applyBorder="1" applyAlignment="1" applyProtection="1">
      <alignment/>
      <protection locked="0"/>
    </xf>
    <xf numFmtId="3" fontId="6" fillId="0" borderId="79" xfId="76" applyNumberFormat="1" applyFont="1" applyFill="1" applyBorder="1" applyAlignment="1" applyProtection="1">
      <alignment/>
      <protection locked="0"/>
    </xf>
    <xf numFmtId="3" fontId="6" fillId="0" borderId="137" xfId="76" applyNumberFormat="1" applyFont="1" applyFill="1" applyBorder="1" applyAlignment="1" applyProtection="1">
      <alignment/>
      <protection locked="0"/>
    </xf>
    <xf numFmtId="3" fontId="6" fillId="0" borderId="68" xfId="76" applyNumberFormat="1" applyFont="1" applyFill="1" applyBorder="1" applyAlignment="1" applyProtection="1">
      <alignment/>
      <protection locked="0"/>
    </xf>
    <xf numFmtId="3" fontId="6" fillId="0" borderId="49" xfId="76" applyNumberFormat="1" applyFont="1" applyFill="1" applyBorder="1" applyAlignment="1" applyProtection="1">
      <alignment/>
      <protection locked="0"/>
    </xf>
    <xf numFmtId="3" fontId="6" fillId="0" borderId="80" xfId="76" applyNumberFormat="1" applyFont="1" applyFill="1" applyBorder="1" applyAlignment="1" applyProtection="1">
      <alignment/>
      <protection locked="0"/>
    </xf>
    <xf numFmtId="200" fontId="6" fillId="24" borderId="115" xfId="76" applyNumberFormat="1" applyFont="1" applyFill="1" applyBorder="1" applyAlignment="1">
      <alignment/>
      <protection/>
    </xf>
    <xf numFmtId="200" fontId="6" fillId="24" borderId="109" xfId="76" applyNumberFormat="1" applyFont="1" applyFill="1" applyBorder="1" applyAlignment="1">
      <alignment/>
      <protection/>
    </xf>
    <xf numFmtId="0" fontId="50" fillId="0" borderId="0" xfId="0" applyFont="1" applyAlignment="1">
      <alignment horizontal="center" vertical="center" wrapText="1"/>
    </xf>
    <xf numFmtId="40" fontId="6" fillId="24" borderId="122" xfId="47" applyFont="1" applyFill="1" applyBorder="1" applyAlignment="1">
      <alignment horizontal="center"/>
    </xf>
    <xf numFmtId="40" fontId="6" fillId="24" borderId="37" xfId="47" applyFont="1" applyFill="1" applyBorder="1" applyAlignment="1">
      <alignment horizontal="center"/>
    </xf>
    <xf numFmtId="40" fontId="6" fillId="24" borderId="53" xfId="47" applyFont="1" applyFill="1" applyBorder="1" applyAlignment="1">
      <alignment horizontal="center"/>
    </xf>
    <xf numFmtId="0" fontId="6" fillId="0" borderId="23" xfId="0" applyFont="1" applyFill="1" applyBorder="1" applyAlignment="1" applyProtection="1">
      <alignment horizontal="justify"/>
      <protection/>
    </xf>
    <xf numFmtId="0" fontId="22" fillId="0" borderId="121" xfId="0" applyFont="1" applyFill="1" applyBorder="1" applyAlignment="1" applyProtection="1">
      <alignment horizontal="center" vertical="center"/>
      <protection/>
    </xf>
    <xf numFmtId="0" fontId="22" fillId="0" borderId="125" xfId="0" applyFont="1" applyFill="1" applyBorder="1" applyAlignment="1" applyProtection="1">
      <alignment horizontal="center" vertical="center" wrapText="1"/>
      <protection/>
    </xf>
    <xf numFmtId="0" fontId="22" fillId="24" borderId="0" xfId="0" applyFont="1" applyFill="1" applyBorder="1" applyAlignment="1">
      <alignment horizontal="center" vertical="center" wrapText="1"/>
    </xf>
    <xf numFmtId="0" fontId="17" fillId="0" borderId="50" xfId="0" applyFont="1" applyFill="1" applyBorder="1" applyAlignment="1">
      <alignment horizontal="centerContinuous"/>
    </xf>
    <xf numFmtId="0" fontId="89" fillId="0" borderId="64" xfId="0" applyFont="1" applyFill="1" applyBorder="1" applyAlignment="1">
      <alignment horizontal="center"/>
    </xf>
    <xf numFmtId="0" fontId="96" fillId="0" borderId="121" xfId="0" applyFont="1" applyFill="1" applyBorder="1" applyAlignment="1" applyProtection="1">
      <alignment horizontal="center"/>
      <protection/>
    </xf>
    <xf numFmtId="0" fontId="96" fillId="0" borderId="122" xfId="0" applyFont="1" applyFill="1" applyBorder="1" applyAlignment="1" applyProtection="1">
      <alignment horizontal="center"/>
      <protection/>
    </xf>
    <xf numFmtId="0" fontId="96" fillId="0" borderId="125" xfId="0" applyFont="1" applyFill="1" applyBorder="1" applyAlignment="1" applyProtection="1">
      <alignment horizontal="center"/>
      <protection/>
    </xf>
    <xf numFmtId="0" fontId="96" fillId="0" borderId="0" xfId="0" applyFont="1" applyFill="1" applyBorder="1" applyAlignment="1" applyProtection="1">
      <alignment horizontal="center"/>
      <protection/>
    </xf>
    <xf numFmtId="0" fontId="14" fillId="0" borderId="50" xfId="0" applyFont="1" applyFill="1" applyBorder="1" applyAlignment="1" applyProtection="1">
      <alignment horizontal="center" vertical="center"/>
      <protection/>
    </xf>
    <xf numFmtId="0" fontId="14" fillId="0" borderId="64" xfId="0" applyFont="1" applyBorder="1" applyAlignment="1">
      <alignment horizontal="center" vertical="center" wrapText="1"/>
    </xf>
    <xf numFmtId="1" fontId="15" fillId="0" borderId="50" xfId="0" applyNumberFormat="1" applyFont="1" applyFill="1" applyBorder="1" applyAlignment="1" applyProtection="1">
      <alignment horizontal="center" vertical="center" wrapText="1"/>
      <protection/>
    </xf>
    <xf numFmtId="0" fontId="15" fillId="0" borderId="72" xfId="0" applyFont="1" applyFill="1" applyBorder="1" applyAlignment="1" applyProtection="1">
      <alignment horizontal="center" vertical="center" wrapText="1"/>
      <protection/>
    </xf>
    <xf numFmtId="3" fontId="17" fillId="24" borderId="0" xfId="0" applyNumberFormat="1" applyFont="1" applyFill="1" applyBorder="1" applyAlignment="1" applyProtection="1">
      <alignment/>
      <protection locked="0"/>
    </xf>
    <xf numFmtId="0" fontId="15" fillId="0" borderId="50" xfId="0" applyFont="1" applyFill="1" applyBorder="1" applyAlignment="1" applyProtection="1">
      <alignment horizontal="center" vertical="center" wrapText="1"/>
      <protection/>
    </xf>
    <xf numFmtId="0" fontId="17" fillId="0" borderId="50" xfId="0" applyFont="1" applyFill="1" applyBorder="1" applyAlignment="1" applyProtection="1">
      <alignment horizontal="left"/>
      <protection/>
    </xf>
    <xf numFmtId="0" fontId="6" fillId="0" borderId="64" xfId="0" applyFont="1" applyFill="1" applyBorder="1" applyAlignment="1" applyProtection="1">
      <alignment horizontal="center"/>
      <protection/>
    </xf>
    <xf numFmtId="4" fontId="17" fillId="24" borderId="50" xfId="0" applyNumberFormat="1" applyFont="1" applyFill="1" applyBorder="1" applyAlignment="1" applyProtection="1">
      <alignment/>
      <protection locked="0"/>
    </xf>
    <xf numFmtId="4" fontId="17" fillId="24" borderId="37" xfId="0" applyNumberFormat="1" applyFont="1" applyFill="1" applyBorder="1" applyAlignment="1" applyProtection="1">
      <alignment/>
      <protection locked="0"/>
    </xf>
    <xf numFmtId="4" fontId="17" fillId="24" borderId="72" xfId="0" applyNumberFormat="1" applyFont="1" applyFill="1" applyBorder="1" applyAlignment="1" applyProtection="1">
      <alignment/>
      <protection locked="0"/>
    </xf>
    <xf numFmtId="3" fontId="17" fillId="24" borderId="50" xfId="0" applyNumberFormat="1" applyFont="1" applyFill="1" applyBorder="1" applyAlignment="1" applyProtection="1">
      <alignment/>
      <protection locked="0"/>
    </xf>
    <xf numFmtId="3" fontId="17" fillId="24" borderId="37" xfId="0" applyNumberFormat="1" applyFont="1" applyFill="1" applyBorder="1" applyAlignment="1" applyProtection="1">
      <alignment/>
      <protection locked="0"/>
    </xf>
    <xf numFmtId="3" fontId="17" fillId="24" borderId="72" xfId="0" applyNumberFormat="1" applyFont="1" applyFill="1" applyBorder="1" applyAlignment="1" applyProtection="1">
      <alignment/>
      <protection locked="0"/>
    </xf>
    <xf numFmtId="0" fontId="17" fillId="0" borderId="50" xfId="0" applyFont="1" applyBorder="1" applyAlignment="1">
      <alignment horizontal="center"/>
    </xf>
    <xf numFmtId="0" fontId="17" fillId="0" borderId="72" xfId="0" applyFont="1" applyBorder="1" applyAlignment="1">
      <alignment horizontal="center"/>
    </xf>
    <xf numFmtId="0" fontId="8" fillId="0" borderId="74" xfId="0" applyFont="1" applyFill="1" applyBorder="1" applyAlignment="1" applyProtection="1">
      <alignment horizontal="right" vertical="center"/>
      <protection/>
    </xf>
    <xf numFmtId="0" fontId="17" fillId="0" borderId="150" xfId="0" applyFont="1" applyFill="1" applyBorder="1" applyAlignment="1" applyProtection="1">
      <alignment horizontal="center"/>
      <protection/>
    </xf>
    <xf numFmtId="4" fontId="17" fillId="0" borderId="74" xfId="47" applyNumberFormat="1" applyFont="1" applyFill="1" applyBorder="1" applyAlignment="1">
      <alignment/>
    </xf>
    <xf numFmtId="4" fontId="17" fillId="0" borderId="75" xfId="47" applyNumberFormat="1" applyFont="1" applyFill="1" applyBorder="1" applyAlignment="1">
      <alignment/>
    </xf>
    <xf numFmtId="4" fontId="17" fillId="0" borderId="76" xfId="47" applyNumberFormat="1" applyFont="1" applyFill="1" applyBorder="1" applyAlignment="1">
      <alignment/>
    </xf>
    <xf numFmtId="38" fontId="17" fillId="0" borderId="74" xfId="47" applyNumberFormat="1" applyFont="1" applyFill="1" applyBorder="1" applyAlignment="1">
      <alignment/>
    </xf>
    <xf numFmtId="38" fontId="17" fillId="0" borderId="75" xfId="47" applyNumberFormat="1" applyFont="1" applyFill="1" applyBorder="1" applyAlignment="1">
      <alignment/>
    </xf>
    <xf numFmtId="38" fontId="17" fillId="0" borderId="76" xfId="47" applyNumberFormat="1" applyFont="1" applyFill="1" applyBorder="1" applyAlignment="1">
      <alignment/>
    </xf>
    <xf numFmtId="0" fontId="17" fillId="0" borderId="147" xfId="0" applyFont="1" applyBorder="1" applyAlignment="1">
      <alignment horizontal="center"/>
    </xf>
    <xf numFmtId="0" fontId="17" fillId="0" borderId="107" xfId="0" applyFont="1" applyBorder="1" applyAlignment="1">
      <alignment horizontal="center"/>
    </xf>
    <xf numFmtId="0" fontId="17" fillId="0" borderId="74" xfId="0" applyFont="1" applyBorder="1" applyAlignment="1">
      <alignment horizontal="center"/>
    </xf>
    <xf numFmtId="0" fontId="17" fillId="0" borderId="76" xfId="0" applyFont="1" applyBorder="1" applyAlignment="1">
      <alignment horizontal="center"/>
    </xf>
    <xf numFmtId="173" fontId="6" fillId="0" borderId="0" xfId="72" applyFont="1" applyAlignment="1" applyProtection="1">
      <alignment vertical="center"/>
      <protection/>
    </xf>
    <xf numFmtId="49" fontId="17" fillId="0" borderId="37" xfId="72" applyNumberFormat="1" applyFont="1" applyBorder="1" applyAlignment="1" applyProtection="1">
      <alignment horizontal="left" vertical="center"/>
      <protection locked="0"/>
    </xf>
    <xf numFmtId="49" fontId="17" fillId="0" borderId="37" xfId="0" applyNumberFormat="1" applyFont="1" applyBorder="1" applyAlignment="1" applyProtection="1">
      <alignment horizontal="left"/>
      <protection locked="0"/>
    </xf>
    <xf numFmtId="0" fontId="14" fillId="0" borderId="151" xfId="0" applyFont="1" applyFill="1" applyBorder="1" applyAlignment="1" applyProtection="1">
      <alignment horizontal="center" vertical="center"/>
      <protection/>
    </xf>
    <xf numFmtId="0" fontId="14" fillId="0" borderId="44" xfId="0" applyFont="1" applyFill="1" applyBorder="1" applyAlignment="1" applyProtection="1">
      <alignment horizontal="center" vertical="center"/>
      <protection/>
    </xf>
    <xf numFmtId="0" fontId="14" fillId="0" borderId="119" xfId="0" applyFont="1" applyFill="1" applyBorder="1" applyAlignment="1" applyProtection="1">
      <alignment horizontal="center" vertical="center"/>
      <protection/>
    </xf>
    <xf numFmtId="0" fontId="14" fillId="27" borderId="152" xfId="0" applyFont="1" applyFill="1" applyBorder="1" applyAlignment="1" applyProtection="1">
      <alignment horizontal="center" vertical="center"/>
      <protection/>
    </xf>
    <xf numFmtId="0" fontId="6" fillId="27" borderId="36" xfId="75" applyFont="1" applyFill="1" applyBorder="1" applyAlignment="1">
      <alignment horizontal="center"/>
      <protection/>
    </xf>
    <xf numFmtId="0" fontId="6" fillId="27" borderId="36" xfId="76" applyFont="1" applyFill="1" applyBorder="1" applyAlignment="1">
      <alignment horizontal="center"/>
      <protection/>
    </xf>
    <xf numFmtId="0" fontId="6" fillId="27" borderId="36" xfId="77" applyFont="1" applyFill="1" applyBorder="1" applyAlignment="1">
      <alignment horizontal="center"/>
      <protection/>
    </xf>
    <xf numFmtId="0" fontId="6" fillId="27" borderId="36" xfId="78" applyFont="1" applyFill="1" applyBorder="1" applyAlignment="1">
      <alignment horizontal="center"/>
      <protection/>
    </xf>
    <xf numFmtId="0" fontId="9" fillId="27" borderId="36" xfId="79" applyFont="1" applyFill="1" applyBorder="1" applyAlignment="1" applyProtection="1">
      <alignment horizontal="center" vertical="center"/>
      <protection/>
    </xf>
    <xf numFmtId="0" fontId="20" fillId="27" borderId="36" xfId="0" applyFont="1" applyFill="1" applyBorder="1" applyAlignment="1" applyProtection="1">
      <alignment horizontal="center"/>
      <protection/>
    </xf>
    <xf numFmtId="0" fontId="20" fillId="27" borderId="36" xfId="80" applyFont="1" applyFill="1" applyBorder="1" applyAlignment="1">
      <alignment horizontal="center"/>
      <protection/>
    </xf>
    <xf numFmtId="0" fontId="20" fillId="27" borderId="13" xfId="0" applyFont="1" applyFill="1" applyBorder="1" applyAlignment="1">
      <alignment horizontal="center"/>
    </xf>
    <xf numFmtId="0" fontId="14" fillId="0" borderId="23" xfId="0" applyFont="1" applyFill="1" applyBorder="1" applyAlignment="1">
      <alignment horizontal="center" vertical="center"/>
    </xf>
    <xf numFmtId="0" fontId="9" fillId="0" borderId="99" xfId="0" applyFont="1" applyFill="1" applyBorder="1" applyAlignment="1">
      <alignment horizontal="center" vertical="center"/>
    </xf>
    <xf numFmtId="0" fontId="14" fillId="27" borderId="13" xfId="0" applyFont="1" applyFill="1" applyBorder="1" applyAlignment="1" applyProtection="1">
      <alignment horizontal="center" vertical="center"/>
      <protection/>
    </xf>
    <xf numFmtId="0" fontId="145" fillId="0" borderId="0" xfId="0" applyFont="1" applyAlignment="1">
      <alignment/>
    </xf>
    <xf numFmtId="200" fontId="145" fillId="0" borderId="0" xfId="0" applyNumberFormat="1" applyFont="1" applyAlignment="1">
      <alignment/>
    </xf>
    <xf numFmtId="200" fontId="6" fillId="24" borderId="66" xfId="0" applyNumberFormat="1" applyFont="1" applyFill="1" applyBorder="1" applyAlignment="1" applyProtection="1">
      <alignment/>
      <protection locked="0"/>
    </xf>
    <xf numFmtId="200" fontId="6" fillId="24" borderId="49" xfId="0" applyNumberFormat="1" applyFont="1" applyFill="1" applyBorder="1" applyAlignment="1" applyProtection="1">
      <alignment/>
      <protection locked="0"/>
    </xf>
    <xf numFmtId="200" fontId="6" fillId="0" borderId="66" xfId="0" applyNumberFormat="1" applyFont="1" applyFill="1" applyBorder="1" applyAlignment="1" applyProtection="1">
      <alignment/>
      <protection locked="0"/>
    </xf>
    <xf numFmtId="200" fontId="6" fillId="0" borderId="49" xfId="0" applyNumberFormat="1" applyFont="1" applyFill="1" applyBorder="1" applyAlignment="1" applyProtection="1">
      <alignment/>
      <protection locked="0"/>
    </xf>
    <xf numFmtId="200" fontId="6" fillId="24" borderId="79" xfId="0" applyNumberFormat="1" applyFont="1" applyFill="1" applyBorder="1" applyAlignment="1" applyProtection="1">
      <alignment/>
      <protection locked="0"/>
    </xf>
    <xf numFmtId="200" fontId="6" fillId="0" borderId="79" xfId="0" applyNumberFormat="1" applyFont="1" applyFill="1" applyBorder="1" applyAlignment="1" applyProtection="1">
      <alignment/>
      <protection locked="0"/>
    </xf>
    <xf numFmtId="200" fontId="6" fillId="0" borderId="89" xfId="80" applyNumberFormat="1" applyFont="1" applyFill="1" applyBorder="1" applyProtection="1">
      <alignment/>
      <protection locked="0"/>
    </xf>
    <xf numFmtId="200" fontId="6" fillId="0" borderId="81" xfId="80" applyNumberFormat="1" applyFont="1" applyFill="1" applyBorder="1" applyProtection="1">
      <alignment/>
      <protection locked="0"/>
    </xf>
    <xf numFmtId="200" fontId="6" fillId="0" borderId="139" xfId="80" applyNumberFormat="1" applyFont="1" applyFill="1" applyBorder="1" applyProtection="1">
      <alignment/>
      <protection locked="0"/>
    </xf>
    <xf numFmtId="200" fontId="6" fillId="0" borderId="39" xfId="80" applyNumberFormat="1" applyFont="1" applyFill="1" applyBorder="1" applyProtection="1">
      <alignment/>
      <protection locked="0"/>
    </xf>
    <xf numFmtId="200" fontId="6" fillId="0" borderId="55" xfId="80" applyNumberFormat="1" applyFont="1" applyFill="1" applyBorder="1" applyProtection="1">
      <alignment/>
      <protection locked="0"/>
    </xf>
    <xf numFmtId="200" fontId="6" fillId="0" borderId="83" xfId="80" applyNumberFormat="1" applyFont="1" applyFill="1" applyBorder="1" applyProtection="1">
      <alignment/>
      <protection locked="0"/>
    </xf>
    <xf numFmtId="200" fontId="6" fillId="0" borderId="79" xfId="80" applyNumberFormat="1" applyFont="1" applyFill="1" applyBorder="1" applyProtection="1">
      <alignment/>
      <protection locked="0"/>
    </xf>
    <xf numFmtId="200" fontId="6" fillId="0" borderId="114" xfId="80" applyNumberFormat="1" applyFont="1" applyFill="1" applyBorder="1" applyProtection="1">
      <alignment/>
      <protection locked="0"/>
    </xf>
    <xf numFmtId="200" fontId="6" fillId="0" borderId="137" xfId="80" applyNumberFormat="1" applyFont="1" applyFill="1" applyBorder="1" applyProtection="1">
      <alignment/>
      <protection locked="0"/>
    </xf>
    <xf numFmtId="200" fontId="6" fillId="0" borderId="66" xfId="0" applyNumberFormat="1" applyFont="1" applyFill="1" applyBorder="1" applyAlignment="1" applyProtection="1">
      <alignment/>
      <protection locked="0"/>
    </xf>
    <xf numFmtId="200" fontId="6" fillId="0" borderId="67" xfId="0" applyNumberFormat="1" applyFont="1" applyFill="1" applyBorder="1" applyAlignment="1" applyProtection="1">
      <alignment/>
      <protection locked="0"/>
    </xf>
    <xf numFmtId="200" fontId="6" fillId="0" borderId="68" xfId="0" applyNumberFormat="1" applyFont="1" applyFill="1" applyBorder="1" applyAlignment="1" applyProtection="1">
      <alignment/>
      <protection locked="0"/>
    </xf>
    <xf numFmtId="200" fontId="6" fillId="0" borderId="69" xfId="0" applyNumberFormat="1" applyFont="1" applyFill="1" applyBorder="1" applyAlignment="1" applyProtection="1">
      <alignment/>
      <protection locked="0"/>
    </xf>
    <xf numFmtId="0" fontId="9" fillId="0" borderId="104" xfId="0" applyFont="1" applyFill="1" applyBorder="1" applyAlignment="1" applyProtection="1">
      <alignment horizontal="center" vertical="center"/>
      <protection/>
    </xf>
    <xf numFmtId="200" fontId="17" fillId="0" borderId="80" xfId="0" applyNumberFormat="1" applyFont="1" applyFill="1" applyBorder="1" applyAlignment="1" applyProtection="1">
      <alignment horizontal="center"/>
      <protection/>
    </xf>
    <xf numFmtId="200" fontId="17" fillId="0" borderId="0" xfId="0" applyNumberFormat="1" applyFont="1" applyFill="1" applyBorder="1" applyAlignment="1" applyProtection="1">
      <alignment horizontal="center"/>
      <protection/>
    </xf>
    <xf numFmtId="200" fontId="17" fillId="0" borderId="136" xfId="0" applyNumberFormat="1" applyFont="1" applyFill="1" applyBorder="1" applyAlignment="1" applyProtection="1">
      <alignment horizontal="center"/>
      <protection/>
    </xf>
    <xf numFmtId="200" fontId="17" fillId="0" borderId="80" xfId="0" applyNumberFormat="1" applyFont="1" applyFill="1" applyBorder="1" applyAlignment="1" applyProtection="1">
      <alignment horizontal="center"/>
      <protection/>
    </xf>
    <xf numFmtId="200" fontId="17" fillId="0" borderId="64" xfId="0" applyNumberFormat="1" applyFont="1" applyFill="1" applyBorder="1" applyAlignment="1" applyProtection="1">
      <alignment horizontal="center"/>
      <protection/>
    </xf>
    <xf numFmtId="200" fontId="17" fillId="0" borderId="59" xfId="0" applyNumberFormat="1" applyFont="1" applyFill="1" applyBorder="1" applyAlignment="1" applyProtection="1">
      <alignment horizontal="center"/>
      <protection/>
    </xf>
    <xf numFmtId="200" fontId="17" fillId="0" borderId="137" xfId="0" applyNumberFormat="1" applyFont="1" applyFill="1" applyBorder="1" applyAlignment="1" applyProtection="1">
      <alignment horizontal="center"/>
      <protection/>
    </xf>
    <xf numFmtId="200" fontId="17" fillId="0" borderId="153" xfId="0" applyNumberFormat="1" applyFont="1" applyFill="1" applyBorder="1" applyAlignment="1" applyProtection="1">
      <alignment horizontal="center"/>
      <protection/>
    </xf>
    <xf numFmtId="200" fontId="6" fillId="0" borderId="105" xfId="47" applyNumberFormat="1" applyFont="1" applyFill="1" applyBorder="1" applyAlignment="1" applyProtection="1">
      <alignment/>
      <protection locked="0"/>
    </xf>
    <xf numFmtId="200" fontId="6" fillId="0" borderId="72" xfId="47" applyNumberFormat="1" applyFont="1" applyFill="1" applyBorder="1" applyAlignment="1" applyProtection="1">
      <alignment/>
      <protection locked="0"/>
    </xf>
    <xf numFmtId="200" fontId="6" fillId="0" borderId="29" xfId="47" applyNumberFormat="1" applyFont="1" applyFill="1" applyBorder="1" applyAlignment="1" applyProtection="1">
      <alignment/>
      <protection locked="0"/>
    </xf>
    <xf numFmtId="200" fontId="6" fillId="0" borderId="93" xfId="47" applyNumberFormat="1" applyFont="1" applyFill="1" applyBorder="1" applyAlignment="1" applyProtection="1">
      <alignment/>
      <protection locked="0"/>
    </xf>
    <xf numFmtId="200" fontId="6" fillId="0" borderId="83" xfId="47" applyNumberFormat="1" applyFont="1" applyFill="1" applyBorder="1" applyAlignment="1" applyProtection="1">
      <alignment/>
      <protection locked="0"/>
    </xf>
    <xf numFmtId="200" fontId="6" fillId="0" borderId="66" xfId="47" applyNumberFormat="1" applyFont="1" applyFill="1" applyBorder="1" applyAlignment="1" applyProtection="1">
      <alignment/>
      <protection locked="0"/>
    </xf>
    <xf numFmtId="0" fontId="10" fillId="0" borderId="0" xfId="0" applyFont="1" applyBorder="1" applyAlignment="1" applyProtection="1">
      <alignment vertical="top"/>
      <protection/>
    </xf>
    <xf numFmtId="173" fontId="35" fillId="0" borderId="0" xfId="73" applyNumberFormat="1" applyAlignment="1" applyProtection="1">
      <alignment vertical="center"/>
      <protection/>
    </xf>
    <xf numFmtId="173" fontId="17" fillId="16" borderId="80" xfId="73" applyNumberFormat="1" applyFont="1" applyFill="1" applyBorder="1" applyAlignment="1" applyProtection="1">
      <alignment vertical="top"/>
      <protection/>
    </xf>
    <xf numFmtId="173" fontId="17" fillId="16" borderId="82" xfId="73" applyNumberFormat="1" applyFont="1" applyFill="1" applyBorder="1" applyAlignment="1" applyProtection="1">
      <alignment vertical="top"/>
      <protection/>
    </xf>
    <xf numFmtId="173" fontId="35" fillId="0" borderId="0" xfId="73" applyNumberFormat="1" applyAlignment="1" applyProtection="1">
      <alignment vertical="top"/>
      <protection/>
    </xf>
    <xf numFmtId="173" fontId="17" fillId="0" borderId="0" xfId="73" applyNumberFormat="1" applyFont="1" applyAlignment="1" applyProtection="1">
      <alignment vertical="center"/>
      <protection/>
    </xf>
    <xf numFmtId="173" fontId="48" fillId="0" borderId="0" xfId="73" applyNumberFormat="1" applyFont="1" applyAlignment="1" applyProtection="1">
      <alignment horizontal="left" vertical="center"/>
      <protection/>
    </xf>
    <xf numFmtId="173" fontId="37" fillId="0" borderId="0" xfId="73" applyNumberFormat="1" applyFont="1" applyAlignment="1" applyProtection="1">
      <alignment vertical="center"/>
      <protection/>
    </xf>
    <xf numFmtId="173" fontId="36" fillId="0" borderId="0" xfId="73" applyNumberFormat="1" applyFont="1" applyAlignment="1" applyProtection="1">
      <alignment vertical="center"/>
      <protection/>
    </xf>
    <xf numFmtId="173" fontId="38" fillId="0" borderId="0" xfId="73" applyNumberFormat="1" applyFont="1" applyFill="1" applyBorder="1" applyAlignment="1" applyProtection="1">
      <alignment vertical="center"/>
      <protection/>
    </xf>
    <xf numFmtId="173" fontId="38" fillId="0" borderId="0" xfId="73" applyNumberFormat="1" applyFont="1" applyFill="1" applyBorder="1" applyAlignment="1" applyProtection="1">
      <alignment horizontal="center" vertical="center" wrapText="1"/>
      <protection/>
    </xf>
    <xf numFmtId="173" fontId="45" fillId="0" borderId="0" xfId="73" applyNumberFormat="1" applyFont="1" applyBorder="1" applyAlignment="1" applyProtection="1">
      <alignment horizontal="right" vertical="center"/>
      <protection/>
    </xf>
    <xf numFmtId="173" fontId="38" fillId="0" borderId="0" xfId="73" applyNumberFormat="1" applyFont="1" applyFill="1" applyBorder="1" applyAlignment="1" applyProtection="1">
      <alignment horizontal="left" vertical="center"/>
      <protection/>
    </xf>
    <xf numFmtId="173" fontId="35" fillId="16" borderId="59" xfId="73" applyNumberFormat="1" applyFont="1" applyFill="1" applyBorder="1" applyAlignment="1" applyProtection="1">
      <alignment horizontal="right" vertical="top"/>
      <protection/>
    </xf>
    <xf numFmtId="173" fontId="35" fillId="0" borderId="0" xfId="73" applyNumberFormat="1" applyFont="1" applyAlignment="1" applyProtection="1">
      <alignment horizontal="right" vertical="center"/>
      <protection/>
    </xf>
    <xf numFmtId="173" fontId="36" fillId="0" borderId="0" xfId="73" applyNumberFormat="1" applyFont="1" applyAlignment="1" applyProtection="1">
      <alignment horizontal="right" vertical="center"/>
      <protection/>
    </xf>
    <xf numFmtId="0" fontId="6" fillId="0" borderId="50" xfId="55" applyFont="1" applyFill="1" applyBorder="1" applyAlignment="1" applyProtection="1">
      <alignment horizontal="left"/>
      <protection/>
    </xf>
    <xf numFmtId="0" fontId="19" fillId="0" borderId="29" xfId="0" applyFont="1" applyFill="1" applyBorder="1" applyAlignment="1" applyProtection="1">
      <alignment horizontal="center" vertical="center" wrapText="1"/>
      <protection/>
    </xf>
    <xf numFmtId="0" fontId="22" fillId="0" borderId="23" xfId="0" applyFont="1" applyBorder="1" applyAlignment="1">
      <alignment horizontal="left" wrapText="1"/>
    </xf>
    <xf numFmtId="0" fontId="22" fillId="0" borderId="0" xfId="0" applyFont="1" applyBorder="1" applyAlignment="1">
      <alignment horizontal="left" wrapText="1"/>
    </xf>
    <xf numFmtId="0" fontId="22" fillId="0" borderId="43" xfId="0" applyFont="1" applyBorder="1" applyAlignment="1">
      <alignment horizontal="left" wrapText="1"/>
    </xf>
    <xf numFmtId="0" fontId="5" fillId="0" borderId="0" xfId="0" applyFont="1" applyAlignment="1">
      <alignment wrapText="1"/>
    </xf>
    <xf numFmtId="0" fontId="97" fillId="0" borderId="0" xfId="0" applyFont="1" applyAlignment="1">
      <alignment/>
    </xf>
    <xf numFmtId="0" fontId="5" fillId="0" borderId="117" xfId="0" applyFont="1" applyBorder="1" applyAlignment="1">
      <alignment vertical="top"/>
    </xf>
    <xf numFmtId="0" fontId="6" fillId="0" borderId="117" xfId="0" applyFont="1" applyBorder="1" applyAlignment="1">
      <alignment/>
    </xf>
    <xf numFmtId="0" fontId="5" fillId="0" borderId="117" xfId="0" applyFont="1" applyBorder="1" applyAlignment="1">
      <alignment vertical="top" wrapText="1"/>
    </xf>
    <xf numFmtId="0" fontId="5" fillId="0" borderId="117" xfId="0" applyFont="1" applyBorder="1" applyAlignment="1">
      <alignment/>
    </xf>
    <xf numFmtId="0" fontId="9" fillId="0" borderId="93" xfId="0" applyFont="1" applyBorder="1" applyAlignment="1">
      <alignment horizontal="center" vertical="center" wrapText="1"/>
    </xf>
    <xf numFmtId="0" fontId="9" fillId="0" borderId="148" xfId="0" applyFont="1" applyBorder="1" applyAlignment="1">
      <alignment horizontal="center" vertical="center" wrapText="1"/>
    </xf>
    <xf numFmtId="0" fontId="9" fillId="0" borderId="125" xfId="0" applyFont="1" applyFill="1" applyBorder="1" applyAlignment="1" applyProtection="1">
      <alignment horizontal="center" vertical="center" wrapText="1"/>
      <protection/>
    </xf>
    <xf numFmtId="0" fontId="9" fillId="0" borderId="72" xfId="0" applyFont="1" applyFill="1" applyBorder="1" applyAlignment="1" applyProtection="1">
      <alignment horizontal="center" vertical="center" wrapText="1"/>
      <protection/>
    </xf>
    <xf numFmtId="0" fontId="9" fillId="0" borderId="148" xfId="0" applyFont="1" applyFill="1" applyBorder="1" applyAlignment="1" applyProtection="1">
      <alignment horizontal="center" vertical="center" wrapText="1"/>
      <protection/>
    </xf>
    <xf numFmtId="38" fontId="6" fillId="0" borderId="37" xfId="47" applyNumberFormat="1" applyFont="1" applyBorder="1" applyAlignment="1">
      <alignment/>
    </xf>
    <xf numFmtId="2" fontId="6" fillId="0" borderId="37" xfId="47" applyNumberFormat="1" applyFont="1" applyBorder="1" applyAlignment="1">
      <alignment/>
    </xf>
    <xf numFmtId="0" fontId="10" fillId="0" borderId="0" xfId="53" applyFont="1" applyBorder="1" applyAlignment="1" applyProtection="1">
      <alignment vertical="top"/>
      <protection/>
    </xf>
    <xf numFmtId="198" fontId="6" fillId="0" borderId="0" xfId="53" applyNumberFormat="1" applyFont="1" applyBorder="1" applyAlignment="1" applyProtection="1">
      <alignment/>
      <protection/>
    </xf>
    <xf numFmtId="0" fontId="6" fillId="0" borderId="0" xfId="53" applyFont="1" applyBorder="1" applyAlignment="1" applyProtection="1">
      <alignment/>
      <protection/>
    </xf>
    <xf numFmtId="0" fontId="6" fillId="0" borderId="0" xfId="53" applyFont="1" applyAlignment="1" applyProtection="1">
      <alignment/>
      <protection/>
    </xf>
    <xf numFmtId="0" fontId="6" fillId="0" borderId="0" xfId="53" applyFont="1" applyProtection="1">
      <alignment/>
      <protection/>
    </xf>
    <xf numFmtId="0" fontId="25" fillId="0" borderId="117" xfId="53" applyFont="1" applyBorder="1" applyAlignment="1" applyProtection="1">
      <alignment vertical="center"/>
      <protection/>
    </xf>
    <xf numFmtId="0" fontId="8" fillId="0" borderId="121" xfId="53" applyFont="1" applyFill="1" applyBorder="1" applyAlignment="1" applyProtection="1">
      <alignment horizontal="centerContinuous" vertical="center"/>
      <protection/>
    </xf>
    <xf numFmtId="0" fontId="6" fillId="0" borderId="12" xfId="53" applyFont="1" applyFill="1" applyBorder="1" applyAlignment="1" applyProtection="1">
      <alignment horizontal="centerContinuous"/>
      <protection/>
    </xf>
    <xf numFmtId="0" fontId="8" fillId="0" borderId="121" xfId="53" applyFont="1" applyFill="1" applyBorder="1" applyAlignment="1" applyProtection="1">
      <alignment horizontal="centerContinuous" vertical="center" wrapText="1"/>
      <protection/>
    </xf>
    <xf numFmtId="0" fontId="6" fillId="0" borderId="32" xfId="53" applyFont="1" applyFill="1" applyBorder="1" applyAlignment="1" applyProtection="1">
      <alignment horizontal="centerContinuous" vertical="center"/>
      <protection/>
    </xf>
    <xf numFmtId="0" fontId="32" fillId="0" borderId="120" xfId="53" applyFont="1" applyFill="1" applyBorder="1" applyAlignment="1" applyProtection="1">
      <alignment horizontal="center" vertical="center"/>
      <protection/>
    </xf>
    <xf numFmtId="0" fontId="6" fillId="0" borderId="50" xfId="53" applyFont="1" applyFill="1" applyBorder="1" applyAlignment="1" applyProtection="1">
      <alignment horizontal="center"/>
      <protection/>
    </xf>
    <xf numFmtId="0" fontId="15" fillId="0" borderId="37" xfId="53" applyFont="1" applyFill="1" applyBorder="1" applyAlignment="1" applyProtection="1">
      <alignment horizontal="center"/>
      <protection/>
    </xf>
    <xf numFmtId="0" fontId="6" fillId="0" borderId="37" xfId="53" applyFont="1" applyFill="1" applyBorder="1" applyAlignment="1" applyProtection="1">
      <alignment horizontal="center"/>
      <protection/>
    </xf>
    <xf numFmtId="0" fontId="15" fillId="0" borderId="64" xfId="53" applyFont="1" applyFill="1" applyBorder="1" applyAlignment="1" applyProtection="1">
      <alignment horizontal="center"/>
      <protection/>
    </xf>
    <xf numFmtId="0" fontId="6" fillId="0" borderId="72" xfId="53" applyFont="1" applyFill="1" applyBorder="1" applyAlignment="1" applyProtection="1">
      <alignment horizontal="center"/>
      <protection/>
    </xf>
    <xf numFmtId="0" fontId="8" fillId="0" borderId="154" xfId="53" applyFont="1" applyFill="1" applyBorder="1" applyAlignment="1" applyProtection="1">
      <alignment/>
      <protection/>
    </xf>
    <xf numFmtId="0" fontId="8" fillId="0" borderId="136" xfId="53" applyFont="1" applyFill="1" applyBorder="1" applyAlignment="1" applyProtection="1">
      <alignment/>
      <protection/>
    </xf>
    <xf numFmtId="0" fontId="8" fillId="0" borderId="155" xfId="53" applyFont="1" applyFill="1" applyBorder="1" applyAlignment="1" applyProtection="1">
      <alignment/>
      <protection/>
    </xf>
    <xf numFmtId="0" fontId="144" fillId="0" borderId="0" xfId="58" applyFont="1" applyAlignment="1" applyProtection="1">
      <alignment horizontal="centerContinuous" vertical="center"/>
      <protection hidden="1"/>
    </xf>
    <xf numFmtId="0" fontId="90" fillId="0" borderId="41" xfId="53" applyFont="1" applyFill="1" applyBorder="1" applyAlignment="1" applyProtection="1">
      <alignment horizontal="left" vertical="top" wrapText="1"/>
      <protection/>
    </xf>
    <xf numFmtId="0" fontId="8" fillId="0" borderId="80" xfId="53" applyFont="1" applyFill="1" applyBorder="1" applyAlignment="1" applyProtection="1">
      <alignment/>
      <protection/>
    </xf>
    <xf numFmtId="0" fontId="8" fillId="0" borderId="70" xfId="53" applyFont="1" applyFill="1" applyBorder="1" applyAlignment="1" applyProtection="1">
      <alignment/>
      <protection/>
    </xf>
    <xf numFmtId="0" fontId="144" fillId="0" borderId="0" xfId="58" applyFont="1" applyAlignment="1" applyProtection="1">
      <alignment horizontal="center" vertical="center"/>
      <protection hidden="1"/>
    </xf>
    <xf numFmtId="0" fontId="6" fillId="0" borderId="50" xfId="53" applyFont="1" applyFill="1" applyBorder="1" applyAlignment="1" applyProtection="1">
      <alignment horizontal="left"/>
      <protection/>
    </xf>
    <xf numFmtId="0" fontId="6" fillId="0" borderId="0" xfId="53" applyFont="1" applyFill="1" applyBorder="1" applyAlignment="1" applyProtection="1">
      <alignment horizontal="center"/>
      <protection/>
    </xf>
    <xf numFmtId="0" fontId="6" fillId="0" borderId="0" xfId="63" applyFont="1" applyFill="1" applyBorder="1" applyAlignment="1" applyProtection="1">
      <alignment horizontal="center"/>
      <protection/>
    </xf>
    <xf numFmtId="0" fontId="89" fillId="0" borderId="156" xfId="53" applyFont="1" applyFill="1" applyBorder="1" applyAlignment="1" applyProtection="1">
      <alignment horizontal="right"/>
      <protection/>
    </xf>
    <xf numFmtId="0" fontId="6" fillId="0" borderId="157" xfId="53" applyFont="1" applyFill="1" applyBorder="1" applyAlignment="1" applyProtection="1">
      <alignment/>
      <protection/>
    </xf>
    <xf numFmtId="200" fontId="9" fillId="0" borderId="148" xfId="53" applyNumberFormat="1" applyFont="1" applyFill="1" applyBorder="1" applyAlignment="1" applyProtection="1">
      <alignment vertical="center"/>
      <protection/>
    </xf>
    <xf numFmtId="0" fontId="32" fillId="0" borderId="120" xfId="53" applyFont="1" applyFill="1" applyBorder="1" applyAlignment="1" applyProtection="1">
      <alignment horizontal="center" vertical="center" wrapText="1"/>
      <protection/>
    </xf>
    <xf numFmtId="0" fontId="89" fillId="0" borderId="47" xfId="53" applyFont="1" applyFill="1" applyBorder="1" applyAlignment="1" applyProtection="1">
      <alignment/>
      <protection/>
    </xf>
    <xf numFmtId="0" fontId="89" fillId="0" borderId="12" xfId="53" applyFont="1" applyFill="1" applyBorder="1" applyAlignment="1" applyProtection="1">
      <alignment/>
      <protection/>
    </xf>
    <xf numFmtId="0" fontId="89" fillId="0" borderId="32" xfId="53" applyFont="1" applyFill="1" applyBorder="1" applyAlignment="1" applyProtection="1">
      <alignment/>
      <protection/>
    </xf>
    <xf numFmtId="0" fontId="89" fillId="0" borderId="0" xfId="53" applyFont="1" applyFill="1" applyBorder="1" applyAlignment="1" applyProtection="1">
      <alignment horizontal="center"/>
      <protection/>
    </xf>
    <xf numFmtId="0" fontId="8" fillId="0" borderId="16" xfId="53" applyFont="1" applyFill="1" applyBorder="1" applyAlignment="1" applyProtection="1">
      <alignment horizontal="center"/>
      <protection/>
    </xf>
    <xf numFmtId="0" fontId="8" fillId="0" borderId="135" xfId="53" applyFont="1" applyFill="1" applyBorder="1" applyAlignment="1" applyProtection="1">
      <alignment/>
      <protection/>
    </xf>
    <xf numFmtId="200" fontId="9" fillId="0" borderId="158" xfId="53" applyNumberFormat="1" applyFont="1" applyFill="1" applyBorder="1" applyAlignment="1" applyProtection="1">
      <alignment vertical="center"/>
      <protection/>
    </xf>
    <xf numFmtId="0" fontId="6" fillId="0" borderId="0" xfId="62" applyFont="1" applyFill="1" applyBorder="1" applyAlignment="1" applyProtection="1">
      <alignment horizontal="center"/>
      <protection/>
    </xf>
    <xf numFmtId="0" fontId="32" fillId="0" borderId="0" xfId="53" applyFont="1" applyFill="1" applyBorder="1" applyAlignment="1" applyProtection="1">
      <alignment vertical="center"/>
      <protection/>
    </xf>
    <xf numFmtId="0" fontId="6" fillId="0" borderId="23" xfId="53" applyFont="1" applyFill="1" applyBorder="1" applyAlignment="1" applyProtection="1">
      <alignment horizontal="left"/>
      <protection/>
    </xf>
    <xf numFmtId="0" fontId="15" fillId="0" borderId="0" xfId="53" applyFont="1" applyFill="1" applyBorder="1" applyAlignment="1" applyProtection="1">
      <alignment horizontal="center"/>
      <protection/>
    </xf>
    <xf numFmtId="0" fontId="6" fillId="0" borderId="16" xfId="53" applyFont="1" applyFill="1" applyBorder="1" applyAlignment="1" applyProtection="1">
      <alignment horizontal="left"/>
      <protection/>
    </xf>
    <xf numFmtId="0" fontId="15" fillId="0" borderId="117" xfId="53" applyFont="1" applyFill="1" applyBorder="1" applyAlignment="1" applyProtection="1">
      <alignment horizontal="center"/>
      <protection/>
    </xf>
    <xf numFmtId="0" fontId="9" fillId="0" borderId="159" xfId="53" applyFont="1" applyFill="1" applyBorder="1" applyAlignment="1" applyProtection="1">
      <alignment/>
      <protection/>
    </xf>
    <xf numFmtId="200" fontId="9" fillId="0" borderId="76" xfId="53" applyNumberFormat="1" applyFont="1" applyFill="1" applyBorder="1" applyAlignment="1" applyProtection="1">
      <alignment vertical="center"/>
      <protection/>
    </xf>
    <xf numFmtId="0" fontId="32" fillId="0" borderId="0" xfId="53" applyFont="1" applyFill="1" applyBorder="1" applyAlignment="1" applyProtection="1">
      <alignment horizontal="center" vertical="center"/>
      <protection/>
    </xf>
    <xf numFmtId="0" fontId="15" fillId="0" borderId="117" xfId="53" applyFont="1" applyBorder="1" applyAlignment="1" applyProtection="1">
      <alignment horizontal="center"/>
      <protection/>
    </xf>
    <xf numFmtId="0" fontId="81" fillId="16" borderId="136" xfId="71" applyFont="1" applyFill="1" applyBorder="1" applyAlignment="1" applyProtection="1">
      <alignment horizontal="centerContinuous" readingOrder="1"/>
      <protection/>
    </xf>
    <xf numFmtId="0" fontId="98" fillId="16" borderId="136" xfId="71" applyFont="1" applyFill="1" applyBorder="1" applyAlignment="1" applyProtection="1">
      <alignment horizontal="centerContinuous" readingOrder="1"/>
      <protection/>
    </xf>
    <xf numFmtId="173" fontId="17" fillId="16" borderId="136" xfId="73" applyNumberFormat="1" applyFont="1" applyFill="1" applyBorder="1" applyAlignment="1" applyProtection="1">
      <alignment horizontal="centerContinuous" vertical="center" readingOrder="1"/>
      <protection/>
    </xf>
    <xf numFmtId="173" fontId="17" fillId="16" borderId="160" xfId="73" applyNumberFormat="1" applyFont="1" applyFill="1" applyBorder="1" applyAlignment="1" applyProtection="1">
      <alignment horizontal="centerContinuous" vertical="center" readingOrder="1"/>
      <protection/>
    </xf>
    <xf numFmtId="198" fontId="35" fillId="0" borderId="0" xfId="73" applyNumberFormat="1" applyFont="1" applyAlignment="1" applyProtection="1">
      <alignment horizontal="center" vertical="center" wrapText="1"/>
      <protection/>
    </xf>
    <xf numFmtId="173" fontId="35" fillId="0" borderId="0" xfId="73" applyNumberFormat="1" applyFont="1" applyAlignment="1" applyProtection="1">
      <alignment horizontal="center" vertical="center"/>
      <protection/>
    </xf>
    <xf numFmtId="0" fontId="81" fillId="16" borderId="0" xfId="71" applyFont="1" applyFill="1" applyBorder="1" applyAlignment="1" applyProtection="1">
      <alignment horizontal="centerContinuous" readingOrder="1"/>
      <protection/>
    </xf>
    <xf numFmtId="0" fontId="98" fillId="16" borderId="0" xfId="71" applyFont="1" applyFill="1" applyBorder="1" applyAlignment="1" applyProtection="1">
      <alignment horizontal="centerContinuous" readingOrder="1"/>
      <protection/>
    </xf>
    <xf numFmtId="0" fontId="81" fillId="16" borderId="0" xfId="71" applyFont="1" applyFill="1" applyBorder="1" applyAlignment="1" applyProtection="1">
      <alignment horizontal="centerContinuous"/>
      <protection/>
    </xf>
    <xf numFmtId="173" fontId="17" fillId="16" borderId="0" xfId="73" applyNumberFormat="1" applyFont="1" applyFill="1" applyBorder="1" applyAlignment="1" applyProtection="1">
      <alignment horizontal="centerContinuous" vertical="center"/>
      <protection/>
    </xf>
    <xf numFmtId="173" fontId="17" fillId="16" borderId="134" xfId="73" applyNumberFormat="1" applyFont="1" applyFill="1" applyBorder="1" applyAlignment="1" applyProtection="1">
      <alignment horizontal="centerContinuous" vertical="center"/>
      <protection/>
    </xf>
    <xf numFmtId="198" fontId="35" fillId="0" borderId="0" xfId="73" applyNumberFormat="1" applyFont="1" applyAlignment="1" applyProtection="1">
      <alignment vertical="center"/>
      <protection/>
    </xf>
    <xf numFmtId="198" fontId="35" fillId="0" borderId="0" xfId="73" applyNumberFormat="1" applyFont="1" applyFill="1" applyAlignment="1" applyProtection="1">
      <alignment horizontal="center" vertical="center"/>
      <protection/>
    </xf>
    <xf numFmtId="173" fontId="42" fillId="16" borderId="80" xfId="73" applyNumberFormat="1" applyFont="1" applyFill="1" applyBorder="1" applyAlignment="1" applyProtection="1">
      <alignment horizontal="right" vertical="top"/>
      <protection/>
    </xf>
    <xf numFmtId="173" fontId="42" fillId="0" borderId="0" xfId="73" applyNumberFormat="1" applyFont="1" applyAlignment="1" applyProtection="1">
      <alignment horizontal="right" vertical="center"/>
      <protection/>
    </xf>
    <xf numFmtId="173" fontId="17" fillId="0" borderId="0" xfId="73" applyNumberFormat="1" applyFont="1" applyFill="1" applyAlignment="1" applyProtection="1">
      <alignment horizontal="center" vertical="center"/>
      <protection/>
    </xf>
    <xf numFmtId="173" fontId="42" fillId="0" borderId="0" xfId="73" applyNumberFormat="1" applyFont="1" applyAlignment="1" applyProtection="1">
      <alignment vertical="center"/>
      <protection/>
    </xf>
    <xf numFmtId="173" fontId="35" fillId="0" borderId="0" xfId="73" applyNumberFormat="1" applyFill="1" applyAlignment="1" applyProtection="1">
      <alignment horizontal="center" vertical="center"/>
      <protection/>
    </xf>
    <xf numFmtId="173" fontId="48" fillId="0" borderId="0" xfId="73" applyNumberFormat="1" applyFont="1" applyAlignment="1" applyProtection="1">
      <alignment horizontal="centerContinuous" vertical="center"/>
      <protection/>
    </xf>
    <xf numFmtId="173" fontId="9" fillId="0" borderId="0" xfId="73" applyNumberFormat="1" applyFont="1" applyAlignment="1" applyProtection="1">
      <alignment horizontal="centerContinuous" vertical="center"/>
      <protection/>
    </xf>
    <xf numFmtId="173" fontId="37" fillId="0" borderId="0" xfId="73" applyNumberFormat="1" applyFont="1" applyAlignment="1" applyProtection="1">
      <alignment horizontal="centerContinuous" vertical="center"/>
      <protection/>
    </xf>
    <xf numFmtId="173" fontId="36" fillId="0" borderId="0" xfId="73" applyNumberFormat="1" applyFont="1" applyAlignment="1" applyProtection="1">
      <alignment horizontal="centerContinuous" vertical="center"/>
      <protection/>
    </xf>
    <xf numFmtId="173" fontId="36" fillId="0" borderId="0" xfId="73" applyNumberFormat="1" applyFont="1" applyFill="1" applyAlignment="1" applyProtection="1">
      <alignment horizontal="center" vertical="center"/>
      <protection/>
    </xf>
    <xf numFmtId="173" fontId="40" fillId="0" borderId="0" xfId="73" applyNumberFormat="1" applyFont="1" applyAlignment="1" applyProtection="1">
      <alignment horizontal="right" vertical="center"/>
      <protection/>
    </xf>
    <xf numFmtId="173" fontId="42" fillId="0" borderId="0" xfId="73" applyNumberFormat="1" applyFont="1" applyBorder="1" applyAlignment="1" applyProtection="1">
      <alignment horizontal="right" vertical="center"/>
      <protection/>
    </xf>
    <xf numFmtId="173" fontId="38" fillId="28" borderId="37" xfId="73" applyNumberFormat="1" applyFont="1" applyFill="1" applyBorder="1" applyAlignment="1" applyProtection="1">
      <alignment horizontal="center" vertical="center"/>
      <protection/>
    </xf>
    <xf numFmtId="14" fontId="36" fillId="0" borderId="0" xfId="73" applyNumberFormat="1" applyFont="1" applyAlignment="1" applyProtection="1">
      <alignment vertical="center"/>
      <protection/>
    </xf>
    <xf numFmtId="0" fontId="144" fillId="0" borderId="0" xfId="61" applyFont="1" applyAlignment="1" applyProtection="1">
      <alignment horizontal="center" vertical="center"/>
      <protection hidden="1"/>
    </xf>
    <xf numFmtId="173" fontId="38" fillId="0" borderId="0" xfId="73" applyNumberFormat="1" applyFont="1" applyFill="1" applyBorder="1" applyAlignment="1" applyProtection="1">
      <alignment horizontal="center" vertical="center"/>
      <protection/>
    </xf>
    <xf numFmtId="173" fontId="36" fillId="0" borderId="0" xfId="73" applyNumberFormat="1" applyFont="1" applyAlignment="1" applyProtection="1">
      <alignment horizontal="center" vertical="center"/>
      <protection/>
    </xf>
    <xf numFmtId="0" fontId="146" fillId="0" borderId="0" xfId="61" applyFont="1" applyFill="1" applyAlignment="1">
      <alignment horizontal="center" vertical="center"/>
      <protection/>
    </xf>
    <xf numFmtId="0" fontId="147" fillId="0" borderId="0" xfId="61" applyFont="1" applyFill="1" applyAlignment="1">
      <alignment horizontal="center" vertical="center"/>
      <protection/>
    </xf>
    <xf numFmtId="0" fontId="148" fillId="0" borderId="0" xfId="61" applyFont="1" applyFill="1" applyAlignment="1">
      <alignment horizontal="center" vertical="center"/>
      <protection/>
    </xf>
    <xf numFmtId="0" fontId="149" fillId="0" borderId="0" xfId="61" applyFont="1" applyFill="1" applyAlignment="1">
      <alignment horizontal="center" vertical="center"/>
      <protection/>
    </xf>
    <xf numFmtId="0" fontId="150" fillId="0" borderId="0" xfId="61" applyFont="1" applyAlignment="1">
      <alignment wrapText="1"/>
      <protection/>
    </xf>
    <xf numFmtId="0" fontId="146" fillId="0" borderId="0" xfId="61" applyFont="1" applyAlignment="1">
      <alignment horizontal="center" vertical="center"/>
      <protection/>
    </xf>
    <xf numFmtId="0" fontId="151" fillId="0" borderId="0" xfId="61" applyFont="1" applyAlignment="1">
      <alignment horizontal="center" vertical="center" wrapText="1"/>
      <protection/>
    </xf>
    <xf numFmtId="0" fontId="150" fillId="0" borderId="0" xfId="61" applyFont="1">
      <alignment/>
      <protection/>
    </xf>
    <xf numFmtId="0" fontId="99" fillId="25" borderId="0" xfId="53" applyFont="1" applyFill="1" applyAlignment="1" applyProtection="1">
      <alignment horizontal="centerContinuous" vertical="center"/>
      <protection/>
    </xf>
    <xf numFmtId="0" fontId="100" fillId="25" borderId="0" xfId="53" applyFont="1" applyFill="1" applyAlignment="1" applyProtection="1">
      <alignment horizontal="centerContinuous" vertical="center"/>
      <protection/>
    </xf>
    <xf numFmtId="0" fontId="101" fillId="25" borderId="0" xfId="53" applyFont="1" applyFill="1" applyAlignment="1" applyProtection="1">
      <alignment horizontal="center" vertical="center"/>
      <protection/>
    </xf>
    <xf numFmtId="0" fontId="102" fillId="25" borderId="0" xfId="53" applyFont="1" applyFill="1" applyAlignment="1" applyProtection="1">
      <alignment horizontal="centerContinuous" vertical="center"/>
      <protection/>
    </xf>
    <xf numFmtId="0" fontId="150" fillId="0" borderId="0" xfId="61" applyFont="1" applyAlignment="1">
      <alignment vertical="center" wrapText="1"/>
      <protection/>
    </xf>
    <xf numFmtId="0" fontId="150" fillId="0" borderId="0" xfId="61" applyFont="1" applyAlignment="1">
      <alignment vertical="center"/>
      <protection/>
    </xf>
    <xf numFmtId="0" fontId="150" fillId="0" borderId="0" xfId="61" applyFont="1" applyFill="1" applyAlignment="1">
      <alignment horizontal="center" vertical="center"/>
      <protection/>
    </xf>
    <xf numFmtId="0" fontId="152" fillId="0" borderId="0" xfId="61" applyFont="1" applyAlignment="1">
      <alignment horizontal="center" vertical="center" wrapText="1"/>
      <protection/>
    </xf>
    <xf numFmtId="0" fontId="153" fillId="0" borderId="0" xfId="61" applyFont="1" applyAlignment="1">
      <alignment vertical="center" wrapText="1"/>
      <protection/>
    </xf>
    <xf numFmtId="0" fontId="147" fillId="0" borderId="0" xfId="61" applyFont="1" applyAlignment="1">
      <alignment vertical="center" wrapText="1"/>
      <protection/>
    </xf>
    <xf numFmtId="0" fontId="149" fillId="0" borderId="0" xfId="61" applyFont="1" applyAlignment="1">
      <alignment vertical="center"/>
      <protection/>
    </xf>
    <xf numFmtId="0" fontId="154" fillId="0" borderId="0" xfId="61" applyFont="1" applyAlignment="1">
      <alignment horizontal="center" vertical="center"/>
      <protection/>
    </xf>
    <xf numFmtId="0" fontId="147" fillId="0" borderId="0" xfId="61" applyFont="1" applyAlignment="1">
      <alignment horizontal="center" vertical="center"/>
      <protection/>
    </xf>
    <xf numFmtId="0" fontId="149" fillId="0" borderId="37" xfId="61" applyFont="1" applyBorder="1" applyAlignment="1" applyProtection="1">
      <alignment horizontal="center" vertical="center" wrapText="1"/>
      <protection locked="0"/>
    </xf>
    <xf numFmtId="0" fontId="155" fillId="0" borderId="0" xfId="61" applyFont="1" applyAlignment="1" applyProtection="1">
      <alignment vertical="center" wrapText="1"/>
      <protection/>
    </xf>
    <xf numFmtId="0" fontId="150" fillId="0" borderId="0" xfId="61" applyFont="1" applyAlignment="1" applyProtection="1">
      <alignment horizontal="center" vertical="center"/>
      <protection hidden="1"/>
    </xf>
    <xf numFmtId="0" fontId="150" fillId="0" borderId="0" xfId="61" applyFont="1" applyFill="1" applyAlignment="1" applyProtection="1">
      <alignment horizontal="center" vertical="center"/>
      <protection hidden="1"/>
    </xf>
    <xf numFmtId="0" fontId="147" fillId="0" borderId="0" xfId="61" applyFont="1" applyAlignment="1">
      <alignment horizontal="center" vertical="center" wrapText="1"/>
      <protection/>
    </xf>
    <xf numFmtId="0" fontId="149" fillId="0" borderId="0" xfId="61" applyFont="1" applyAlignment="1">
      <alignment horizontal="center" vertical="center"/>
      <protection/>
    </xf>
    <xf numFmtId="0" fontId="156" fillId="0" borderId="0" xfId="61" applyFont="1" applyAlignment="1">
      <alignment vertical="center" wrapText="1"/>
      <protection/>
    </xf>
    <xf numFmtId="14" fontId="149" fillId="0" borderId="37" xfId="53" applyNumberFormat="1" applyFont="1" applyBorder="1" applyAlignment="1" applyProtection="1">
      <alignment horizontal="center" vertical="center" wrapText="1"/>
      <protection locked="0"/>
    </xf>
    <xf numFmtId="3" fontId="149" fillId="0" borderId="37" xfId="61" applyNumberFormat="1" applyFont="1" applyBorder="1" applyAlignment="1" applyProtection="1">
      <alignment horizontal="center" vertical="center" wrapText="1"/>
      <protection locked="0"/>
    </xf>
    <xf numFmtId="0" fontId="153" fillId="0" borderId="0" xfId="61" applyFont="1" applyAlignment="1">
      <alignment horizontal="center" vertical="center" wrapText="1"/>
      <protection/>
    </xf>
    <xf numFmtId="0" fontId="155" fillId="0" borderId="0" xfId="59" applyFont="1" applyAlignment="1" applyProtection="1">
      <alignment vertical="center" wrapText="1"/>
      <protection/>
    </xf>
    <xf numFmtId="0" fontId="150" fillId="0" borderId="0" xfId="59" applyFont="1" applyAlignment="1">
      <alignment vertical="center"/>
      <protection/>
    </xf>
    <xf numFmtId="0" fontId="150" fillId="0" borderId="0" xfId="59" applyFont="1" applyAlignment="1" applyProtection="1">
      <alignment horizontal="center" vertical="center"/>
      <protection hidden="1"/>
    </xf>
    <xf numFmtId="0" fontId="150" fillId="0" borderId="0" xfId="59" applyFont="1" applyFill="1" applyAlignment="1" applyProtection="1">
      <alignment horizontal="center" vertical="center"/>
      <protection hidden="1"/>
    </xf>
    <xf numFmtId="0" fontId="7" fillId="0" borderId="0" xfId="61" applyFont="1" applyAlignment="1">
      <alignment horizontal="center" vertical="center"/>
      <protection/>
    </xf>
    <xf numFmtId="0" fontId="24" fillId="0" borderId="0" xfId="61" applyFont="1" applyAlignment="1">
      <alignment vertical="center" wrapText="1"/>
      <protection/>
    </xf>
    <xf numFmtId="0" fontId="17" fillId="0" borderId="0" xfId="61" applyFont="1" applyAlignment="1">
      <alignment vertical="center" wrapText="1"/>
      <protection/>
    </xf>
    <xf numFmtId="0" fontId="6" fillId="0" borderId="0" xfId="61" applyFont="1" applyAlignment="1">
      <alignment horizontal="center" vertical="center"/>
      <protection/>
    </xf>
    <xf numFmtId="0" fontId="25" fillId="0" borderId="0" xfId="61" applyFont="1" applyAlignment="1">
      <alignment horizontal="center" vertical="center"/>
      <protection/>
    </xf>
    <xf numFmtId="0" fontId="157" fillId="0" borderId="0" xfId="61" applyFont="1" applyAlignment="1">
      <alignment horizontal="center" vertical="center"/>
      <protection/>
    </xf>
    <xf numFmtId="0" fontId="153" fillId="0" borderId="0" xfId="61" applyFont="1" applyBorder="1" applyAlignment="1">
      <alignment vertical="center"/>
      <protection/>
    </xf>
    <xf numFmtId="0" fontId="147" fillId="0" borderId="0" xfId="61" applyFont="1" applyAlignment="1">
      <alignment vertical="center"/>
      <protection/>
    </xf>
    <xf numFmtId="0" fontId="155" fillId="0" borderId="0" xfId="59" applyFont="1" applyAlignment="1">
      <alignment vertical="center" wrapText="1"/>
      <protection/>
    </xf>
    <xf numFmtId="0" fontId="152" fillId="0" borderId="0" xfId="61" applyFont="1" applyAlignment="1">
      <alignment vertical="center"/>
      <protection/>
    </xf>
    <xf numFmtId="0" fontId="149" fillId="0" borderId="0" xfId="61" applyFont="1" applyAlignment="1">
      <alignment vertical="center" wrapText="1"/>
      <protection/>
    </xf>
    <xf numFmtId="0" fontId="152" fillId="0" borderId="0" xfId="61" applyFont="1" applyAlignment="1">
      <alignment horizontal="center" vertical="center"/>
      <protection/>
    </xf>
    <xf numFmtId="0" fontId="147" fillId="0" borderId="0" xfId="61" applyFont="1" applyBorder="1" applyAlignment="1">
      <alignment vertical="center"/>
      <protection/>
    </xf>
    <xf numFmtId="0" fontId="150" fillId="0" borderId="0" xfId="53" applyFont="1" applyAlignment="1">
      <alignment horizontal="center" vertical="center"/>
      <protection/>
    </xf>
    <xf numFmtId="0" fontId="152" fillId="0" borderId="0" xfId="61" applyFont="1">
      <alignment/>
      <protection/>
    </xf>
    <xf numFmtId="0" fontId="147" fillId="0" borderId="0" xfId="61" applyFont="1">
      <alignment/>
      <protection/>
    </xf>
    <xf numFmtId="0" fontId="149" fillId="0" borderId="0" xfId="61" applyFont="1">
      <alignment/>
      <protection/>
    </xf>
    <xf numFmtId="198" fontId="35" fillId="0" borderId="0" xfId="73" applyNumberFormat="1" applyFont="1" applyAlignment="1" applyProtection="1">
      <alignment vertical="center" wrapText="1"/>
      <protection/>
    </xf>
    <xf numFmtId="173" fontId="35" fillId="16" borderId="80" xfId="73" applyNumberFormat="1" applyFont="1" applyFill="1" applyBorder="1" applyAlignment="1" applyProtection="1">
      <alignment horizontal="right" vertical="top"/>
      <protection/>
    </xf>
    <xf numFmtId="14" fontId="35" fillId="0" borderId="0" xfId="73" applyNumberFormat="1" applyAlignment="1" applyProtection="1">
      <alignment vertical="top"/>
      <protection/>
    </xf>
    <xf numFmtId="0" fontId="144" fillId="0" borderId="0" xfId="59" applyFont="1" applyAlignment="1" applyProtection="1">
      <alignment horizontal="center" vertical="center"/>
      <protection hidden="1"/>
    </xf>
    <xf numFmtId="0" fontId="146" fillId="0" borderId="0" xfId="59" applyFont="1" applyFill="1" applyAlignment="1">
      <alignment horizontal="center" vertical="center"/>
      <protection/>
    </xf>
    <xf numFmtId="0" fontId="148" fillId="0" borderId="0" xfId="59" applyFont="1" applyFill="1" applyAlignment="1">
      <alignment horizontal="center" vertical="center"/>
      <protection/>
    </xf>
    <xf numFmtId="0" fontId="149" fillId="0" borderId="0" xfId="59" applyFont="1" applyFill="1" applyAlignment="1">
      <alignment horizontal="center" vertical="center"/>
      <protection/>
    </xf>
    <xf numFmtId="0" fontId="146" fillId="0" borderId="0" xfId="59" applyFont="1" applyAlignment="1">
      <alignment horizontal="center" vertical="center" wrapText="1"/>
      <protection/>
    </xf>
    <xf numFmtId="0" fontId="150" fillId="0" borderId="0" xfId="59" applyFont="1">
      <alignment/>
      <protection/>
    </xf>
    <xf numFmtId="0" fontId="150" fillId="0" borderId="0" xfId="59" applyFont="1" applyAlignment="1">
      <alignment vertical="center" wrapText="1"/>
      <protection/>
    </xf>
    <xf numFmtId="0" fontId="153" fillId="0" borderId="0" xfId="59" applyFont="1" applyAlignment="1">
      <alignment vertical="center" wrapText="1"/>
      <protection/>
    </xf>
    <xf numFmtId="0" fontId="149" fillId="0" borderId="0" xfId="59" applyFont="1" applyAlignment="1">
      <alignment vertical="center"/>
      <protection/>
    </xf>
    <xf numFmtId="0" fontId="150" fillId="0" borderId="0" xfId="59" applyFont="1" applyAlignment="1" applyProtection="1">
      <alignment vertical="center"/>
      <protection hidden="1"/>
    </xf>
    <xf numFmtId="0" fontId="154" fillId="0" borderId="0" xfId="59" applyFont="1" applyAlignment="1">
      <alignment horizontal="center" vertical="center"/>
      <protection/>
    </xf>
    <xf numFmtId="0" fontId="147" fillId="0" borderId="0" xfId="59" applyFont="1" applyAlignment="1">
      <alignment horizontal="center" vertical="center"/>
      <protection/>
    </xf>
    <xf numFmtId="0" fontId="149" fillId="0" borderId="37" xfId="59" applyFont="1" applyBorder="1" applyAlignment="1" applyProtection="1">
      <alignment horizontal="center" vertical="center" wrapText="1"/>
      <protection locked="0"/>
    </xf>
    <xf numFmtId="0" fontId="149" fillId="0" borderId="0" xfId="59" applyFont="1" applyAlignment="1">
      <alignment horizontal="center" vertical="center"/>
      <protection/>
    </xf>
    <xf numFmtId="0" fontId="156" fillId="0" borderId="0" xfId="59" applyFont="1" applyAlignment="1">
      <alignment vertical="center" wrapText="1"/>
      <protection/>
    </xf>
    <xf numFmtId="3" fontId="149" fillId="0" borderId="37" xfId="59" applyNumberFormat="1" applyFont="1" applyBorder="1" applyAlignment="1" applyProtection="1">
      <alignment horizontal="center" vertical="center" wrapText="1"/>
      <protection locked="0"/>
    </xf>
    <xf numFmtId="0" fontId="153" fillId="0" borderId="0" xfId="59" applyFont="1" applyAlignment="1">
      <alignment horizontal="center" vertical="center" wrapText="1"/>
      <protection/>
    </xf>
    <xf numFmtId="0" fontId="24" fillId="0" borderId="0" xfId="59" applyFont="1" applyAlignment="1">
      <alignment vertical="center" wrapText="1"/>
      <protection/>
    </xf>
    <xf numFmtId="0" fontId="7" fillId="0" borderId="0" xfId="59" applyFont="1" applyAlignment="1">
      <alignment horizontal="center" vertical="center"/>
      <protection/>
    </xf>
    <xf numFmtId="0" fontId="17" fillId="0" borderId="0" xfId="59" applyFont="1" applyAlignment="1">
      <alignment vertical="center" wrapText="1"/>
      <protection/>
    </xf>
    <xf numFmtId="0" fontId="150" fillId="0" borderId="0" xfId="59" applyFont="1" applyFill="1" applyAlignment="1">
      <alignment horizontal="center" vertical="center"/>
      <protection/>
    </xf>
    <xf numFmtId="0" fontId="152" fillId="0" borderId="0" xfId="59" applyFont="1" applyAlignment="1">
      <alignment horizontal="center" vertical="center" wrapText="1"/>
      <protection/>
    </xf>
    <xf numFmtId="0" fontId="7" fillId="0" borderId="0" xfId="59" applyFont="1" applyFill="1" applyAlignment="1">
      <alignment horizontal="center" vertical="center"/>
      <protection/>
    </xf>
    <xf numFmtId="0" fontId="99" fillId="25" borderId="0" xfId="53" applyFont="1" applyFill="1" applyAlignment="1" applyProtection="1">
      <alignment horizontal="center" vertical="center"/>
      <protection/>
    </xf>
    <xf numFmtId="0" fontId="102" fillId="25" borderId="0" xfId="53" applyFont="1" applyFill="1" applyAlignment="1" applyProtection="1">
      <alignment horizontal="center" vertical="center"/>
      <protection/>
    </xf>
    <xf numFmtId="0" fontId="158" fillId="0" borderId="0" xfId="59" applyFont="1" applyAlignment="1">
      <alignment horizontal="center" vertical="center" wrapText="1"/>
      <protection/>
    </xf>
    <xf numFmtId="0" fontId="157" fillId="0" borderId="0" xfId="59" applyFont="1" applyAlignment="1">
      <alignment horizontal="center" vertical="center"/>
      <protection/>
    </xf>
    <xf numFmtId="0" fontId="150" fillId="0" borderId="0" xfId="59" applyFont="1" applyAlignment="1">
      <alignment wrapText="1"/>
      <protection/>
    </xf>
    <xf numFmtId="0" fontId="153" fillId="0" borderId="0" xfId="59" applyFont="1" applyBorder="1" applyAlignment="1">
      <alignment vertical="center"/>
      <protection/>
    </xf>
    <xf numFmtId="0" fontId="152" fillId="0" borderId="0" xfId="59" applyFont="1" applyAlignment="1">
      <alignment vertical="center"/>
      <protection/>
    </xf>
    <xf numFmtId="0" fontId="149" fillId="0" borderId="0" xfId="59" applyFont="1" applyAlignment="1">
      <alignment vertical="center" wrapText="1"/>
      <protection/>
    </xf>
    <xf numFmtId="0" fontId="152" fillId="0" borderId="0" xfId="59" applyFont="1">
      <alignment/>
      <protection/>
    </xf>
    <xf numFmtId="0" fontId="149" fillId="0" borderId="0" xfId="59" applyFont="1">
      <alignment/>
      <protection/>
    </xf>
    <xf numFmtId="173" fontId="159" fillId="0" borderId="0" xfId="72" applyFont="1" applyAlignment="1" applyProtection="1">
      <alignment vertical="center"/>
      <protection/>
    </xf>
    <xf numFmtId="0" fontId="160" fillId="0" borderId="0" xfId="0" applyFont="1" applyAlignment="1">
      <alignment/>
    </xf>
    <xf numFmtId="173" fontId="161" fillId="0" borderId="0" xfId="72" applyFont="1" applyAlignment="1" applyProtection="1">
      <alignment vertical="center"/>
      <protection/>
    </xf>
    <xf numFmtId="173" fontId="159" fillId="0" borderId="0" xfId="72" applyFont="1" applyAlignment="1">
      <alignment vertical="center"/>
      <protection/>
    </xf>
    <xf numFmtId="173" fontId="159" fillId="0" borderId="0" xfId="72" applyFont="1" applyAlignment="1">
      <alignment horizontal="center" vertical="center"/>
      <protection/>
    </xf>
    <xf numFmtId="0" fontId="6" fillId="0" borderId="0" xfId="53" applyFont="1">
      <alignment/>
      <protection/>
    </xf>
    <xf numFmtId="0" fontId="6" fillId="0" borderId="0" xfId="53" applyFont="1" applyAlignment="1">
      <alignment horizontal="center" vertical="center"/>
      <protection/>
    </xf>
    <xf numFmtId="0" fontId="20" fillId="0" borderId="0" xfId="53" applyFont="1">
      <alignment/>
      <protection/>
    </xf>
    <xf numFmtId="0" fontId="6" fillId="0" borderId="44" xfId="0" applyFont="1" applyFill="1" applyBorder="1" applyAlignment="1" applyProtection="1">
      <alignment horizontal="centerContinuous" vertical="center" wrapText="1"/>
      <protection/>
    </xf>
    <xf numFmtId="0" fontId="6" fillId="0" borderId="39" xfId="0" applyFont="1" applyFill="1" applyBorder="1" applyAlignment="1" applyProtection="1">
      <alignment horizontal="center" vertical="center" wrapText="1"/>
      <protection/>
    </xf>
    <xf numFmtId="3" fontId="17" fillId="0" borderId="57" xfId="0" applyNumberFormat="1" applyFont="1" applyFill="1" applyBorder="1" applyAlignment="1" applyProtection="1">
      <alignment/>
      <protection locked="0"/>
    </xf>
    <xf numFmtId="0" fontId="17" fillId="0" borderId="155" xfId="0" applyNumberFormat="1" applyFont="1" applyFill="1" applyBorder="1" applyAlignment="1" applyProtection="1">
      <alignment/>
      <protection locked="0"/>
    </xf>
    <xf numFmtId="3" fontId="17" fillId="0" borderId="58" xfId="0" applyNumberFormat="1" applyFont="1" applyFill="1" applyBorder="1" applyAlignment="1" applyProtection="1">
      <alignment/>
      <protection locked="0"/>
    </xf>
    <xf numFmtId="0" fontId="17" fillId="0" borderId="43" xfId="0" applyNumberFormat="1" applyFont="1" applyFill="1" applyBorder="1" applyAlignment="1" applyProtection="1">
      <alignment/>
      <protection locked="0"/>
    </xf>
    <xf numFmtId="3" fontId="17" fillId="0" borderId="161" xfId="0" applyNumberFormat="1" applyFont="1" applyFill="1" applyBorder="1" applyAlignment="1" applyProtection="1">
      <alignment/>
      <protection locked="0"/>
    </xf>
    <xf numFmtId="0" fontId="17" fillId="0" borderId="162" xfId="0" applyNumberFormat="1" applyFont="1" applyFill="1" applyBorder="1" applyAlignment="1" applyProtection="1">
      <alignment/>
      <protection locked="0"/>
    </xf>
    <xf numFmtId="0" fontId="9" fillId="26" borderId="64" xfId="0" applyFont="1" applyFill="1" applyBorder="1" applyAlignment="1" applyProtection="1">
      <alignment horizontal="center" vertical="center" wrapText="1"/>
      <protection/>
    </xf>
    <xf numFmtId="0" fontId="9" fillId="26" borderId="71" xfId="0" applyFont="1" applyFill="1" applyBorder="1" applyAlignment="1" applyProtection="1">
      <alignment horizontal="center" vertical="center" wrapText="1"/>
      <protection/>
    </xf>
    <xf numFmtId="0" fontId="9" fillId="26" borderId="163" xfId="0" applyFont="1" applyFill="1" applyBorder="1" applyAlignment="1" applyProtection="1">
      <alignment horizontal="center" vertical="center" wrapText="1"/>
      <protection/>
    </xf>
    <xf numFmtId="0" fontId="9" fillId="26" borderId="155" xfId="0" applyFont="1" applyFill="1" applyBorder="1" applyAlignment="1" applyProtection="1">
      <alignment horizontal="center" vertical="center" wrapText="1"/>
      <protection/>
    </xf>
    <xf numFmtId="0" fontId="9" fillId="26" borderId="24" xfId="0" applyFont="1" applyFill="1" applyBorder="1" applyAlignment="1" applyProtection="1">
      <alignment horizontal="center" vertical="center" wrapText="1"/>
      <protection/>
    </xf>
    <xf numFmtId="0" fontId="9" fillId="26" borderId="43" xfId="0" applyFont="1" applyFill="1" applyBorder="1" applyAlignment="1" applyProtection="1">
      <alignment horizontal="center" vertical="center" wrapText="1"/>
      <protection/>
    </xf>
    <xf numFmtId="0" fontId="9" fillId="26" borderId="59" xfId="0" applyFont="1" applyFill="1" applyBorder="1" applyAlignment="1" applyProtection="1">
      <alignment horizontal="center" vertical="center" wrapText="1"/>
      <protection/>
    </xf>
    <xf numFmtId="0" fontId="9" fillId="26" borderId="70" xfId="0" applyFont="1" applyFill="1" applyBorder="1" applyAlignment="1" applyProtection="1">
      <alignment horizontal="center" vertical="center" wrapText="1"/>
      <protection/>
    </xf>
    <xf numFmtId="0" fontId="89" fillId="0" borderId="47" xfId="53" applyFont="1" applyFill="1" applyBorder="1" applyAlignment="1" applyProtection="1">
      <alignment horizontal="left"/>
      <protection/>
    </xf>
    <xf numFmtId="0" fontId="6" fillId="0" borderId="12" xfId="53" applyFont="1" applyFill="1" applyBorder="1" applyAlignment="1" applyProtection="1">
      <alignment/>
      <protection/>
    </xf>
    <xf numFmtId="200" fontId="9" fillId="0" borderId="32" xfId="53" applyNumberFormat="1" applyFont="1" applyFill="1" applyBorder="1" applyAlignment="1" applyProtection="1">
      <alignment vertical="center"/>
      <protection/>
    </xf>
    <xf numFmtId="200" fontId="8" fillId="0" borderId="76" xfId="53" applyNumberFormat="1" applyFont="1" applyFill="1" applyBorder="1" applyAlignment="1" applyProtection="1">
      <alignment vertical="center"/>
      <protection/>
    </xf>
    <xf numFmtId="0" fontId="8" fillId="0" borderId="164" xfId="53" applyFont="1" applyFill="1" applyBorder="1" applyAlignment="1" applyProtection="1">
      <alignment horizontal="right" vertical="center"/>
      <protection/>
    </xf>
    <xf numFmtId="0" fontId="9" fillId="0" borderId="159" xfId="53" applyFont="1" applyFill="1" applyBorder="1" applyAlignment="1" applyProtection="1">
      <alignment horizontal="center" vertical="center"/>
      <protection/>
    </xf>
    <xf numFmtId="0" fontId="155" fillId="0" borderId="0" xfId="68" applyFont="1" applyAlignment="1" applyProtection="1">
      <alignment vertical="center" wrapText="1"/>
      <protection/>
    </xf>
    <xf numFmtId="0" fontId="156" fillId="0" borderId="0" xfId="68" applyFont="1" applyAlignment="1">
      <alignment vertical="center" wrapText="1"/>
      <protection/>
    </xf>
    <xf numFmtId="0" fontId="6" fillId="0" borderId="60" xfId="53" applyFont="1" applyFill="1" applyBorder="1" applyAlignment="1" applyProtection="1">
      <alignment/>
      <protection/>
    </xf>
    <xf numFmtId="0" fontId="9" fillId="0" borderId="66" xfId="0" applyFont="1" applyFill="1" applyBorder="1" applyAlignment="1" applyProtection="1">
      <alignment horizontal="centerContinuous" vertical="center" wrapText="1"/>
      <protection/>
    </xf>
    <xf numFmtId="0" fontId="9" fillId="0" borderId="84" xfId="0" applyFont="1" applyFill="1" applyBorder="1" applyAlignment="1">
      <alignment horizontal="centerContinuous" vertical="center"/>
    </xf>
    <xf numFmtId="0" fontId="9" fillId="0" borderId="66" xfId="0" applyFont="1" applyFill="1" applyBorder="1" applyAlignment="1" applyProtection="1">
      <alignment horizontal="centerContinuous" vertical="center"/>
      <protection/>
    </xf>
    <xf numFmtId="173" fontId="17" fillId="0" borderId="0" xfId="72" applyFont="1" applyFill="1" applyBorder="1" applyAlignment="1" applyProtection="1">
      <alignment vertical="center"/>
      <protection/>
    </xf>
    <xf numFmtId="0" fontId="52" fillId="0" borderId="0" xfId="72" applyNumberFormat="1" applyFont="1" applyAlignment="1" applyProtection="1">
      <alignment horizontal="center" vertical="center" wrapText="1"/>
      <protection/>
    </xf>
    <xf numFmtId="1" fontId="17" fillId="22" borderId="37" xfId="72" applyNumberFormat="1" applyFont="1" applyFill="1" applyBorder="1" applyAlignment="1" applyProtection="1">
      <alignment vertical="center"/>
      <protection locked="0"/>
    </xf>
    <xf numFmtId="173" fontId="8" fillId="0" borderId="37" xfId="72" applyFont="1" applyFill="1" applyBorder="1" applyAlignment="1" applyProtection="1">
      <alignment horizontal="center" vertical="center"/>
      <protection/>
    </xf>
    <xf numFmtId="0" fontId="104" fillId="0" borderId="0" xfId="0" applyFont="1" applyBorder="1" applyAlignment="1">
      <alignment horizontal="left" vertical="center"/>
    </xf>
    <xf numFmtId="0" fontId="19" fillId="0" borderId="118" xfId="0" applyNumberFormat="1" applyFont="1" applyFill="1" applyBorder="1" applyAlignment="1" applyProtection="1">
      <alignment horizontal="center" vertical="center" wrapText="1"/>
      <protection/>
    </xf>
    <xf numFmtId="3" fontId="6" fillId="0" borderId="72" xfId="0" applyNumberFormat="1" applyFont="1" applyFill="1" applyBorder="1" applyAlignment="1" applyProtection="1">
      <alignment/>
      <protection locked="0"/>
    </xf>
    <xf numFmtId="3" fontId="6" fillId="0" borderId="72" xfId="53" applyNumberFormat="1" applyFont="1" applyFill="1" applyBorder="1" applyAlignment="1" applyProtection="1">
      <alignment/>
      <protection locked="0"/>
    </xf>
    <xf numFmtId="0" fontId="6" fillId="0" borderId="64" xfId="53" applyFont="1" applyFill="1" applyBorder="1" applyAlignment="1" applyProtection="1">
      <alignment horizontal="center"/>
      <protection/>
    </xf>
    <xf numFmtId="0" fontId="6" fillId="0" borderId="37" xfId="59" applyFont="1" applyFill="1" applyBorder="1" applyAlignment="1" applyProtection="1">
      <alignment horizontal="center"/>
      <protection/>
    </xf>
    <xf numFmtId="0" fontId="6" fillId="0" borderId="64" xfId="55" applyFont="1" applyFill="1" applyBorder="1" applyAlignment="1" applyProtection="1">
      <alignment horizontal="center"/>
      <protection/>
    </xf>
    <xf numFmtId="0" fontId="6" fillId="29" borderId="165" xfId="53" applyFont="1" applyFill="1" applyBorder="1" applyProtection="1">
      <alignment/>
      <protection/>
    </xf>
    <xf numFmtId="0" fontId="6" fillId="0" borderId="52" xfId="53" applyFont="1" applyFill="1" applyBorder="1" applyAlignment="1" applyProtection="1">
      <alignment horizontal="center"/>
      <protection/>
    </xf>
    <xf numFmtId="0" fontId="15" fillId="0" borderId="156" xfId="53" applyFont="1" applyFill="1" applyBorder="1" applyAlignment="1" applyProtection="1">
      <alignment horizontal="right"/>
      <protection/>
    </xf>
    <xf numFmtId="200" fontId="15" fillId="0" borderId="148" xfId="53" applyNumberFormat="1" applyFont="1" applyFill="1" applyBorder="1" applyAlignment="1" applyProtection="1">
      <alignment vertical="center"/>
      <protection/>
    </xf>
    <xf numFmtId="0" fontId="8" fillId="0" borderId="10" xfId="53" applyFont="1" applyFill="1" applyBorder="1" applyAlignment="1" applyProtection="1">
      <alignment/>
      <protection/>
    </xf>
    <xf numFmtId="0" fontId="90" fillId="0" borderId="41" xfId="53" applyFont="1" applyFill="1" applyBorder="1" applyAlignment="1" applyProtection="1">
      <alignment horizontal="left"/>
      <protection/>
    </xf>
    <xf numFmtId="0" fontId="15" fillId="0" borderId="156" xfId="53" applyFont="1" applyFill="1" applyBorder="1" applyAlignment="1" applyProtection="1">
      <alignment horizontal="right" vertical="center"/>
      <protection/>
    </xf>
    <xf numFmtId="0" fontId="9" fillId="0" borderId="156" xfId="53" applyFont="1" applyFill="1" applyBorder="1" applyAlignment="1" applyProtection="1">
      <alignment horizontal="right"/>
      <protection/>
    </xf>
    <xf numFmtId="0" fontId="6" fillId="0" borderId="156" xfId="53" applyFont="1" applyFill="1" applyBorder="1" applyAlignment="1" applyProtection="1">
      <alignment horizontal="right"/>
      <protection/>
    </xf>
    <xf numFmtId="0" fontId="9" fillId="0" borderId="157" xfId="53" applyFont="1" applyFill="1" applyBorder="1" applyAlignment="1" applyProtection="1">
      <alignment/>
      <protection/>
    </xf>
    <xf numFmtId="0" fontId="15" fillId="0" borderId="42" xfId="53" applyFont="1" applyFill="1" applyBorder="1" applyAlignment="1" applyProtection="1">
      <alignment horizontal="right"/>
      <protection/>
    </xf>
    <xf numFmtId="0" fontId="9" fillId="0" borderId="16" xfId="53" applyFont="1" applyFill="1" applyBorder="1" applyAlignment="1" applyProtection="1">
      <alignment horizontal="right"/>
      <protection/>
    </xf>
    <xf numFmtId="0" fontId="8" fillId="0" borderId="159" xfId="53" applyFont="1" applyFill="1" applyBorder="1" applyAlignment="1" applyProtection="1">
      <alignment/>
      <protection/>
    </xf>
    <xf numFmtId="0" fontId="15" fillId="0" borderId="157" xfId="53" applyFont="1" applyFill="1" applyBorder="1" applyAlignment="1" applyProtection="1">
      <alignment/>
      <protection/>
    </xf>
    <xf numFmtId="0" fontId="9" fillId="0" borderId="16" xfId="53" applyFont="1" applyFill="1" applyBorder="1" applyAlignment="1" applyProtection="1">
      <alignment horizontal="center"/>
      <protection/>
    </xf>
    <xf numFmtId="0" fontId="9" fillId="0" borderId="135" xfId="53" applyFont="1" applyFill="1" applyBorder="1" applyAlignment="1" applyProtection="1">
      <alignment/>
      <protection/>
    </xf>
    <xf numFmtId="0" fontId="14" fillId="0" borderId="157" xfId="53" applyFont="1" applyFill="1" applyBorder="1" applyAlignment="1" applyProtection="1">
      <alignment/>
      <protection/>
    </xf>
    <xf numFmtId="0" fontId="15" fillId="0" borderId="60" xfId="53" applyFont="1" applyFill="1" applyBorder="1" applyAlignment="1" applyProtection="1">
      <alignment/>
      <protection/>
    </xf>
    <xf numFmtId="0" fontId="110" fillId="0" borderId="0" xfId="53" applyFont="1" applyBorder="1" applyAlignment="1" applyProtection="1">
      <alignment vertical="top"/>
      <protection/>
    </xf>
    <xf numFmtId="0" fontId="6" fillId="0" borderId="117" xfId="53" applyFont="1" applyBorder="1" applyAlignment="1" applyProtection="1">
      <alignment/>
      <protection/>
    </xf>
    <xf numFmtId="0" fontId="6" fillId="0" borderId="12" xfId="53" applyFont="1" applyBorder="1" applyAlignment="1" applyProtection="1">
      <alignment horizontal="centerContinuous" vertical="center"/>
      <protection/>
    </xf>
    <xf numFmtId="0" fontId="58" fillId="0" borderId="0" xfId="53" applyFont="1" applyBorder="1" applyAlignment="1" applyProtection="1">
      <alignment vertical="center" wrapText="1"/>
      <protection/>
    </xf>
    <xf numFmtId="0" fontId="24" fillId="0" borderId="0" xfId="53" applyFont="1" applyFill="1" applyBorder="1" applyAlignment="1" applyProtection="1">
      <alignment horizontal="center" vertical="center" wrapText="1"/>
      <protection/>
    </xf>
    <xf numFmtId="0" fontId="6" fillId="0" borderId="0" xfId="53" applyFont="1" applyAlignment="1" applyProtection="1">
      <alignment horizontal="center" vertical="center"/>
      <protection/>
    </xf>
    <xf numFmtId="0" fontId="6" fillId="0" borderId="0" xfId="53" applyFont="1" applyAlignment="1" applyProtection="1">
      <alignment vertical="center"/>
      <protection/>
    </xf>
    <xf numFmtId="0" fontId="23" fillId="29" borderId="165" xfId="53" applyFont="1" applyFill="1" applyBorder="1" applyAlignment="1" applyProtection="1">
      <alignment horizontal="center" vertical="center"/>
      <protection/>
    </xf>
    <xf numFmtId="0" fontId="6" fillId="0" borderId="0" xfId="53" applyFont="1" applyBorder="1" applyAlignment="1">
      <alignment vertical="center"/>
      <protection/>
    </xf>
    <xf numFmtId="0" fontId="58" fillId="0" borderId="0" xfId="53" applyFont="1" applyBorder="1" applyAlignment="1" applyProtection="1">
      <alignment vertical="center"/>
      <protection/>
    </xf>
    <xf numFmtId="0" fontId="24" fillId="0" borderId="0" xfId="53" applyFont="1" applyFill="1" applyBorder="1" applyAlignment="1" applyProtection="1">
      <alignment horizontal="centerContinuous" vertical="center"/>
      <protection/>
    </xf>
    <xf numFmtId="0" fontId="6" fillId="0" borderId="0" xfId="53" applyFont="1" applyAlignment="1" applyProtection="1">
      <alignment horizontal="centerContinuous" vertical="center"/>
      <protection/>
    </xf>
    <xf numFmtId="0" fontId="6" fillId="29" borderId="165" xfId="53" applyFont="1" applyFill="1" applyBorder="1" applyAlignment="1" applyProtection="1">
      <alignment/>
      <protection/>
    </xf>
    <xf numFmtId="3" fontId="6" fillId="0" borderId="72" xfId="53" applyNumberFormat="1" applyFont="1" applyBorder="1" applyAlignment="1" applyProtection="1">
      <alignment/>
      <protection locked="0"/>
    </xf>
    <xf numFmtId="3" fontId="6" fillId="0" borderId="107" xfId="53" applyNumberFormat="1" applyFont="1" applyBorder="1" applyAlignment="1" applyProtection="1">
      <alignment/>
      <protection locked="0"/>
    </xf>
    <xf numFmtId="0" fontId="6" fillId="0" borderId="0" xfId="53" applyFont="1" applyBorder="1" applyAlignment="1" applyProtection="1">
      <alignment horizontal="center"/>
      <protection/>
    </xf>
    <xf numFmtId="0" fontId="97" fillId="0" borderId="0" xfId="53" applyFont="1" applyBorder="1" applyAlignment="1" applyProtection="1">
      <alignment horizontal="center" vertical="center"/>
      <protection/>
    </xf>
    <xf numFmtId="0" fontId="6" fillId="0" borderId="23" xfId="53" applyFont="1" applyBorder="1" applyAlignment="1" applyProtection="1">
      <alignment/>
      <protection/>
    </xf>
    <xf numFmtId="3" fontId="6" fillId="0" borderId="43" xfId="53" applyNumberFormat="1" applyFont="1" applyBorder="1" applyAlignment="1" applyProtection="1">
      <alignment/>
      <protection/>
    </xf>
    <xf numFmtId="0" fontId="97" fillId="0" borderId="0" xfId="53" applyFont="1" applyBorder="1" applyAlignment="1" applyProtection="1">
      <alignment vertical="center"/>
      <protection/>
    </xf>
    <xf numFmtId="0" fontId="97" fillId="0" borderId="23" xfId="53" applyFont="1" applyBorder="1" applyAlignment="1" applyProtection="1">
      <alignment vertical="center"/>
      <protection/>
    </xf>
    <xf numFmtId="0" fontId="6" fillId="29" borderId="43" xfId="53" applyFont="1" applyFill="1" applyBorder="1" applyProtection="1">
      <alignment/>
      <protection/>
    </xf>
    <xf numFmtId="0" fontId="6" fillId="29" borderId="43" xfId="53" applyFont="1" applyFill="1" applyBorder="1" applyAlignment="1" applyProtection="1">
      <alignment/>
      <protection/>
    </xf>
    <xf numFmtId="3" fontId="6" fillId="0" borderId="166" xfId="53" applyNumberFormat="1" applyFont="1" applyFill="1" applyBorder="1" applyAlignment="1" applyProtection="1">
      <alignment/>
      <protection locked="0"/>
    </xf>
    <xf numFmtId="3" fontId="6" fillId="0" borderId="162" xfId="53" applyNumberFormat="1" applyFont="1" applyBorder="1" applyAlignment="1" applyProtection="1">
      <alignment/>
      <protection/>
    </xf>
    <xf numFmtId="0" fontId="17" fillId="29" borderId="165" xfId="53" applyFont="1" applyFill="1" applyBorder="1" applyAlignment="1" applyProtection="1">
      <alignment/>
      <protection/>
    </xf>
    <xf numFmtId="0" fontId="8" fillId="0" borderId="159" xfId="53" applyFont="1" applyBorder="1" applyAlignment="1" applyProtection="1">
      <alignment/>
      <protection/>
    </xf>
    <xf numFmtId="0" fontId="6" fillId="0" borderId="0" xfId="53" applyFont="1" applyAlignment="1" applyProtection="1">
      <alignment horizontal="center"/>
      <protection/>
    </xf>
    <xf numFmtId="0" fontId="6" fillId="0" borderId="0" xfId="53" applyFont="1" applyBorder="1" applyProtection="1">
      <alignment/>
      <protection/>
    </xf>
    <xf numFmtId="3" fontId="6" fillId="0" borderId="107" xfId="53" applyNumberFormat="1" applyFont="1" applyFill="1" applyBorder="1" applyAlignment="1" applyProtection="1">
      <alignment/>
      <protection locked="0"/>
    </xf>
    <xf numFmtId="0" fontId="58" fillId="0" borderId="0" xfId="53" applyFont="1" applyBorder="1" applyAlignment="1" applyProtection="1">
      <alignment horizontal="center" vertical="center" wrapText="1"/>
      <protection/>
    </xf>
    <xf numFmtId="0" fontId="9" fillId="0" borderId="23" xfId="53" applyFont="1" applyBorder="1" applyAlignment="1" applyProtection="1">
      <alignment horizontal="center"/>
      <protection/>
    </xf>
    <xf numFmtId="0" fontId="97" fillId="0" borderId="23" xfId="53" applyFont="1" applyBorder="1" applyAlignment="1" applyProtection="1">
      <alignment horizontal="center" vertical="center"/>
      <protection/>
    </xf>
    <xf numFmtId="0" fontId="6" fillId="0" borderId="16" xfId="53" applyFont="1" applyBorder="1" applyAlignment="1" applyProtection="1">
      <alignment/>
      <protection/>
    </xf>
    <xf numFmtId="0" fontId="8" fillId="29" borderId="165" xfId="53" applyFont="1" applyFill="1" applyBorder="1" applyAlignment="1" applyProtection="1">
      <alignment/>
      <protection/>
    </xf>
    <xf numFmtId="0" fontId="9" fillId="0" borderId="159" xfId="53" applyFont="1" applyBorder="1" applyAlignment="1" applyProtection="1">
      <alignment/>
      <protection/>
    </xf>
    <xf numFmtId="0" fontId="6" fillId="0" borderId="0" xfId="53" applyFont="1" applyFill="1" applyBorder="1" applyAlignment="1" applyProtection="1">
      <alignment/>
      <protection/>
    </xf>
    <xf numFmtId="0" fontId="6" fillId="0" borderId="0" xfId="53" applyFont="1" applyFill="1" applyBorder="1" applyProtection="1">
      <alignment/>
      <protection/>
    </xf>
    <xf numFmtId="200" fontId="15" fillId="0" borderId="72" xfId="53" applyNumberFormat="1" applyFont="1" applyFill="1" applyBorder="1" applyAlignment="1" applyProtection="1">
      <alignment vertical="center"/>
      <protection/>
    </xf>
    <xf numFmtId="0" fontId="6" fillId="0" borderId="21" xfId="53" applyFont="1" applyFill="1" applyBorder="1" applyAlignment="1" applyProtection="1">
      <alignment horizontal="left"/>
      <protection/>
    </xf>
    <xf numFmtId="0" fontId="154" fillId="0" borderId="0" xfId="68" applyFont="1" applyAlignment="1">
      <alignment horizontal="center" vertical="center"/>
      <protection/>
    </xf>
    <xf numFmtId="0" fontId="147" fillId="0" borderId="0" xfId="68" applyFont="1" applyAlignment="1">
      <alignment horizontal="center" vertical="center"/>
      <protection/>
    </xf>
    <xf numFmtId="0" fontId="150" fillId="0" borderId="0" xfId="68" applyFont="1" applyAlignment="1">
      <alignment vertical="center" wrapText="1"/>
      <protection/>
    </xf>
    <xf numFmtId="0" fontId="150" fillId="0" borderId="0" xfId="68" applyFont="1" applyAlignment="1">
      <alignment vertical="center"/>
      <protection/>
    </xf>
    <xf numFmtId="0" fontId="149" fillId="0" borderId="37" xfId="68" applyFont="1" applyBorder="1" applyAlignment="1" applyProtection="1">
      <alignment horizontal="center" vertical="center" wrapText="1"/>
      <protection locked="0"/>
    </xf>
    <xf numFmtId="0" fontId="153" fillId="0" borderId="0" xfId="68" applyFont="1" applyAlignment="1">
      <alignment vertical="center" wrapText="1"/>
      <protection/>
    </xf>
    <xf numFmtId="0" fontId="149" fillId="0" borderId="0" xfId="68" applyFont="1" applyAlignment="1">
      <alignment horizontal="center" vertical="center"/>
      <protection/>
    </xf>
    <xf numFmtId="0" fontId="7" fillId="0" borderId="0" xfId="60" applyFont="1" applyAlignment="1">
      <alignment horizontal="center" vertical="center"/>
      <protection/>
    </xf>
    <xf numFmtId="0" fontId="6" fillId="0" borderId="0" xfId="60" applyFont="1" applyAlignment="1">
      <alignment horizontal="center" vertical="center"/>
      <protection/>
    </xf>
    <xf numFmtId="0" fontId="24" fillId="0" borderId="0" xfId="60" applyFont="1" applyAlignment="1">
      <alignment vertical="center" wrapText="1"/>
      <protection/>
    </xf>
    <xf numFmtId="0" fontId="150" fillId="0" borderId="0" xfId="61" applyNumberFormat="1" applyFont="1" applyFill="1" applyAlignment="1" applyProtection="1">
      <alignment horizontal="center" vertical="center"/>
      <protection hidden="1"/>
    </xf>
    <xf numFmtId="0" fontId="150" fillId="0" borderId="0" xfId="60" applyFont="1" applyAlignment="1">
      <alignment vertical="center"/>
      <protection/>
    </xf>
    <xf numFmtId="0" fontId="149" fillId="0" borderId="0" xfId="68" applyFont="1" applyAlignment="1">
      <alignment vertical="center"/>
      <protection/>
    </xf>
    <xf numFmtId="3" fontId="149" fillId="0" borderId="37" xfId="68" applyNumberFormat="1" applyFont="1" applyFill="1" applyBorder="1" applyAlignment="1" applyProtection="1">
      <alignment horizontal="center" vertical="center" wrapText="1"/>
      <protection locked="0"/>
    </xf>
    <xf numFmtId="0" fontId="6" fillId="0" borderId="0" xfId="59" applyFont="1" applyAlignment="1">
      <alignment horizontal="center" vertical="center"/>
      <protection/>
    </xf>
    <xf numFmtId="0" fontId="150" fillId="0" borderId="0" xfId="60" applyFont="1" applyFill="1" applyAlignment="1">
      <alignment vertical="center"/>
      <protection/>
    </xf>
    <xf numFmtId="3" fontId="149" fillId="0" borderId="37" xfId="60" applyNumberFormat="1" applyFont="1" applyFill="1" applyBorder="1" applyAlignment="1" applyProtection="1">
      <alignment horizontal="center" vertical="center" wrapText="1"/>
      <protection locked="0"/>
    </xf>
    <xf numFmtId="0" fontId="24" fillId="0" borderId="0" xfId="68" applyFont="1" applyAlignment="1">
      <alignment vertical="center" wrapText="1"/>
      <protection/>
    </xf>
    <xf numFmtId="3" fontId="149" fillId="0" borderId="37" xfId="59" applyNumberFormat="1" applyFont="1" applyFill="1" applyBorder="1" applyAlignment="1" applyProtection="1">
      <alignment horizontal="center" vertical="center" wrapText="1"/>
      <protection locked="0"/>
    </xf>
    <xf numFmtId="0" fontId="7" fillId="0" borderId="0" xfId="68" applyFont="1" applyAlignment="1">
      <alignment horizontal="center" vertical="center"/>
      <protection/>
    </xf>
    <xf numFmtId="0" fontId="150" fillId="0" borderId="0" xfId="68" applyFont="1" applyAlignment="1" applyProtection="1">
      <alignment horizontal="center" vertical="center"/>
      <protection hidden="1"/>
    </xf>
    <xf numFmtId="0" fontId="150" fillId="0" borderId="0" xfId="68" applyFont="1" applyFill="1" applyAlignment="1" applyProtection="1">
      <alignment horizontal="center" vertical="center"/>
      <protection hidden="1"/>
    </xf>
    <xf numFmtId="0" fontId="17" fillId="0" borderId="0" xfId="68" applyFont="1" applyAlignment="1">
      <alignment horizontal="center" vertical="center" wrapText="1"/>
      <protection/>
    </xf>
    <xf numFmtId="0" fontId="162" fillId="0" borderId="0" xfId="68" applyFont="1" applyAlignment="1">
      <alignment horizontal="center" vertical="center" wrapText="1"/>
      <protection/>
    </xf>
    <xf numFmtId="0" fontId="150" fillId="0" borderId="0" xfId="68" applyFont="1" applyFill="1" applyAlignment="1">
      <alignment horizontal="center" vertical="center"/>
      <protection/>
    </xf>
    <xf numFmtId="0" fontId="152" fillId="0" borderId="0" xfId="68" applyFont="1" applyAlignment="1">
      <alignment horizontal="center" vertical="center" wrapText="1"/>
      <protection/>
    </xf>
    <xf numFmtId="0" fontId="25" fillId="0" borderId="0" xfId="68" applyFont="1" applyAlignment="1">
      <alignment horizontal="center" vertical="center"/>
      <protection/>
    </xf>
    <xf numFmtId="173" fontId="13" fillId="0" borderId="0" xfId="72" applyFont="1" applyFill="1" applyAlignment="1" applyProtection="1">
      <alignment horizontal="left" vertical="center" wrapText="1"/>
      <protection/>
    </xf>
    <xf numFmtId="173" fontId="13" fillId="0" borderId="134" xfId="72" applyFont="1" applyFill="1" applyBorder="1" applyAlignment="1" applyProtection="1">
      <alignment horizontal="left" vertical="center" wrapText="1"/>
      <protection/>
    </xf>
    <xf numFmtId="173" fontId="13" fillId="30" borderId="0" xfId="72" applyFont="1" applyFill="1" applyBorder="1" applyAlignment="1" applyProtection="1">
      <alignment horizontal="left" vertical="center" wrapText="1"/>
      <protection/>
    </xf>
    <xf numFmtId="173" fontId="38" fillId="0" borderId="0" xfId="72" applyFont="1" applyFill="1" applyBorder="1" applyAlignment="1" applyProtection="1">
      <alignment horizontal="left" vertical="center"/>
      <protection/>
    </xf>
    <xf numFmtId="49" fontId="17" fillId="0" borderId="64" xfId="69" applyNumberFormat="1" applyFont="1" applyFill="1" applyBorder="1" applyAlignment="1" applyProtection="1">
      <alignment horizontal="left" vertical="center"/>
      <protection locked="0"/>
    </xf>
    <xf numFmtId="49" fontId="17" fillId="0" borderId="137" xfId="69" applyNumberFormat="1" applyFont="1" applyFill="1" applyBorder="1" applyAlignment="1" applyProtection="1">
      <alignment horizontal="left" vertical="center"/>
      <protection locked="0"/>
    </xf>
    <xf numFmtId="49" fontId="17" fillId="0" borderId="60" xfId="69" applyNumberFormat="1" applyFont="1" applyFill="1" applyBorder="1" applyAlignment="1" applyProtection="1">
      <alignment horizontal="left" vertical="center"/>
      <protection locked="0"/>
    </xf>
    <xf numFmtId="49" fontId="17" fillId="22" borderId="64" xfId="69" applyNumberFormat="1" applyFont="1" applyFill="1" applyBorder="1" applyAlignment="1" applyProtection="1">
      <alignment horizontal="left" vertical="center"/>
      <protection locked="0"/>
    </xf>
    <xf numFmtId="49" fontId="17" fillId="22" borderId="137" xfId="69" applyNumberFormat="1" applyFont="1" applyFill="1" applyBorder="1" applyAlignment="1" applyProtection="1">
      <alignment horizontal="left" vertical="center"/>
      <protection locked="0"/>
    </xf>
    <xf numFmtId="49" fontId="17" fillId="22" borderId="60" xfId="69" applyNumberFormat="1" applyFont="1" applyFill="1" applyBorder="1" applyAlignment="1" applyProtection="1">
      <alignment horizontal="left" vertical="center"/>
      <protection locked="0"/>
    </xf>
    <xf numFmtId="173" fontId="38" fillId="0" borderId="0" xfId="72" applyFont="1" applyFill="1" applyBorder="1" applyAlignment="1" applyProtection="1">
      <alignment horizontal="center" vertical="center"/>
      <protection/>
    </xf>
    <xf numFmtId="0" fontId="87" fillId="16" borderId="64" xfId="0" applyFont="1" applyFill="1" applyBorder="1" applyAlignment="1">
      <alignment horizontal="center" vertical="center" readingOrder="1"/>
    </xf>
    <xf numFmtId="0" fontId="87" fillId="16" borderId="137" xfId="0" applyFont="1" applyFill="1" applyBorder="1" applyAlignment="1">
      <alignment horizontal="center" vertical="center" readingOrder="1"/>
    </xf>
    <xf numFmtId="0" fontId="87" fillId="16" borderId="60" xfId="0" applyFont="1" applyFill="1" applyBorder="1" applyAlignment="1">
      <alignment horizontal="center" vertical="center" readingOrder="1"/>
    </xf>
    <xf numFmtId="49" fontId="11" fillId="0" borderId="64" xfId="36" applyNumberFormat="1" applyFill="1" applyBorder="1" applyAlignment="1" applyProtection="1">
      <alignment horizontal="left" vertical="center"/>
      <protection locked="0"/>
    </xf>
    <xf numFmtId="49" fontId="17" fillId="0" borderId="64" xfId="0" applyNumberFormat="1" applyFont="1" applyBorder="1" applyAlignment="1" applyProtection="1">
      <alignment horizontal="left" vertical="center"/>
      <protection locked="0"/>
    </xf>
    <xf numFmtId="49" fontId="17" fillId="0" borderId="60" xfId="0" applyNumberFormat="1" applyFont="1" applyBorder="1" applyAlignment="1" applyProtection="1">
      <alignment horizontal="left" vertical="center"/>
      <protection locked="0"/>
    </xf>
    <xf numFmtId="173" fontId="22" fillId="0" borderId="0" xfId="72" applyFont="1" applyAlignment="1" applyProtection="1">
      <alignment horizontal="left" wrapText="1"/>
      <protection/>
    </xf>
    <xf numFmtId="173" fontId="8" fillId="0" borderId="0" xfId="72" applyFont="1" applyBorder="1" applyAlignment="1" applyProtection="1">
      <alignment horizontal="left" wrapText="1"/>
      <protection/>
    </xf>
    <xf numFmtId="173" fontId="8" fillId="0" borderId="0" xfId="72" applyFont="1" applyBorder="1" applyAlignment="1" applyProtection="1">
      <alignment horizontal="left" wrapText="1"/>
      <protection/>
    </xf>
    <xf numFmtId="173" fontId="8" fillId="0" borderId="136" xfId="72" applyFont="1" applyBorder="1" applyAlignment="1" applyProtection="1">
      <alignment horizontal="left" wrapText="1"/>
      <protection/>
    </xf>
    <xf numFmtId="0" fontId="83" fillId="16" borderId="64" xfId="0" applyFont="1" applyFill="1" applyBorder="1" applyAlignment="1">
      <alignment horizontal="center" vertical="center" wrapText="1" readingOrder="1"/>
    </xf>
    <xf numFmtId="0" fontId="83" fillId="16" borderId="137" xfId="0" applyFont="1" applyFill="1" applyBorder="1" applyAlignment="1">
      <alignment horizontal="center" vertical="center" wrapText="1" readingOrder="1"/>
    </xf>
    <xf numFmtId="0" fontId="83" fillId="16" borderId="60" xfId="0" applyFont="1" applyFill="1" applyBorder="1" applyAlignment="1">
      <alignment horizontal="center" vertical="center" wrapText="1" readingOrder="1"/>
    </xf>
    <xf numFmtId="49" fontId="17" fillId="0" borderId="163" xfId="69" applyNumberFormat="1" applyFont="1" applyFill="1" applyBorder="1" applyAlignment="1" applyProtection="1">
      <alignment horizontal="left" vertical="center" wrapText="1"/>
      <protection locked="0"/>
    </xf>
    <xf numFmtId="49" fontId="17" fillId="0" borderId="136" xfId="69" applyNumberFormat="1" applyFont="1" applyFill="1" applyBorder="1" applyAlignment="1" applyProtection="1">
      <alignment horizontal="left" vertical="center" wrapText="1"/>
      <protection locked="0"/>
    </xf>
    <xf numFmtId="49" fontId="17" fillId="0" borderId="160" xfId="69" applyNumberFormat="1" applyFont="1" applyFill="1" applyBorder="1" applyAlignment="1" applyProtection="1">
      <alignment horizontal="left" vertical="center" wrapText="1"/>
      <protection locked="0"/>
    </xf>
    <xf numFmtId="49" fontId="17" fillId="0" borderId="24" xfId="69" applyNumberFormat="1" applyFont="1" applyFill="1" applyBorder="1" applyAlignment="1" applyProtection="1">
      <alignment horizontal="left" vertical="center" wrapText="1"/>
      <protection locked="0"/>
    </xf>
    <xf numFmtId="49" fontId="17" fillId="0" borderId="0" xfId="69" applyNumberFormat="1" applyFont="1" applyFill="1" applyBorder="1" applyAlignment="1" applyProtection="1">
      <alignment horizontal="left" vertical="center" wrapText="1"/>
      <protection locked="0"/>
    </xf>
    <xf numFmtId="49" fontId="17" fillId="0" borderId="134" xfId="69" applyNumberFormat="1" applyFont="1" applyFill="1" applyBorder="1" applyAlignment="1" applyProtection="1">
      <alignment horizontal="left" vertical="center" wrapText="1"/>
      <protection locked="0"/>
    </xf>
    <xf numFmtId="49" fontId="17" fillId="0" borderId="59" xfId="69" applyNumberFormat="1" applyFont="1" applyFill="1" applyBorder="1" applyAlignment="1" applyProtection="1">
      <alignment horizontal="left" vertical="center" wrapText="1"/>
      <protection locked="0"/>
    </xf>
    <xf numFmtId="49" fontId="17" fillId="0" borderId="80" xfId="69" applyNumberFormat="1" applyFont="1" applyFill="1" applyBorder="1" applyAlignment="1" applyProtection="1">
      <alignment horizontal="left" vertical="center" wrapText="1"/>
      <protection locked="0"/>
    </xf>
    <xf numFmtId="49" fontId="17" fillId="0" borderId="82" xfId="69" applyNumberFormat="1" applyFont="1" applyFill="1" applyBorder="1" applyAlignment="1" applyProtection="1">
      <alignment horizontal="left" vertical="center" wrapText="1"/>
      <protection locked="0"/>
    </xf>
    <xf numFmtId="49" fontId="93" fillId="24" borderId="64" xfId="36" applyNumberFormat="1" applyFont="1" applyFill="1" applyBorder="1" applyAlignment="1" applyProtection="1">
      <alignment vertical="center"/>
      <protection locked="0"/>
    </xf>
    <xf numFmtId="49" fontId="17" fillId="24" borderId="137" xfId="0" applyNumberFormat="1" applyFont="1" applyFill="1" applyBorder="1" applyAlignment="1" applyProtection="1">
      <alignment vertical="center"/>
      <protection locked="0"/>
    </xf>
    <xf numFmtId="49" fontId="17" fillId="24" borderId="60" xfId="0" applyNumberFormat="1" applyFont="1" applyFill="1" applyBorder="1" applyAlignment="1" applyProtection="1">
      <alignment vertical="center"/>
      <protection locked="0"/>
    </xf>
    <xf numFmtId="49" fontId="17" fillId="0" borderId="64" xfId="72" applyNumberFormat="1" applyFont="1" applyFill="1" applyBorder="1" applyAlignment="1" applyProtection="1">
      <alignment horizontal="left" vertical="center"/>
      <protection locked="0"/>
    </xf>
    <xf numFmtId="49" fontId="17" fillId="0" borderId="60" xfId="72" applyNumberFormat="1" applyFont="1" applyFill="1" applyBorder="1" applyAlignment="1" applyProtection="1">
      <alignment horizontal="left" vertical="center"/>
      <protection locked="0"/>
    </xf>
    <xf numFmtId="49" fontId="17" fillId="22" borderId="64" xfId="72" applyNumberFormat="1" applyFont="1" applyFill="1" applyBorder="1" applyAlignment="1" applyProtection="1">
      <alignment horizontal="left" vertical="center"/>
      <protection locked="0"/>
    </xf>
    <xf numFmtId="49" fontId="17" fillId="22" borderId="60" xfId="72" applyNumberFormat="1" applyFont="1" applyFill="1" applyBorder="1" applyAlignment="1" applyProtection="1">
      <alignment horizontal="left" vertical="center"/>
      <protection locked="0"/>
    </xf>
    <xf numFmtId="49" fontId="17" fillId="0" borderId="64" xfId="72" applyNumberFormat="1" applyFont="1" applyBorder="1" applyAlignment="1" applyProtection="1">
      <alignment horizontal="left" vertical="center"/>
      <protection locked="0"/>
    </xf>
    <xf numFmtId="49" fontId="17" fillId="0" borderId="60" xfId="72" applyNumberFormat="1" applyFont="1" applyBorder="1" applyAlignment="1" applyProtection="1">
      <alignment horizontal="left" vertical="center"/>
      <protection locked="0"/>
    </xf>
    <xf numFmtId="173" fontId="58" fillId="24" borderId="0" xfId="72" applyFont="1" applyFill="1" applyAlignment="1" applyProtection="1">
      <alignment horizontal="center" vertical="center" wrapText="1"/>
      <protection/>
    </xf>
    <xf numFmtId="173" fontId="59" fillId="24" borderId="58" xfId="72" applyFont="1" applyFill="1" applyBorder="1" applyAlignment="1" applyProtection="1">
      <alignment horizontal="center" vertical="center" wrapText="1"/>
      <protection/>
    </xf>
    <xf numFmtId="173" fontId="30" fillId="24" borderId="58" xfId="72" applyFont="1" applyFill="1" applyBorder="1" applyAlignment="1" applyProtection="1">
      <alignment horizontal="center" vertical="center" wrapText="1"/>
      <protection/>
    </xf>
    <xf numFmtId="173" fontId="59" fillId="24" borderId="134" xfId="72" applyFont="1" applyFill="1" applyBorder="1" applyAlignment="1" applyProtection="1">
      <alignment horizontal="center" vertical="top" wrapText="1"/>
      <protection/>
    </xf>
    <xf numFmtId="0" fontId="0" fillId="0" borderId="134" xfId="0" applyBorder="1" applyAlignment="1">
      <alignment horizontal="center" vertical="top" wrapText="1"/>
    </xf>
    <xf numFmtId="173" fontId="22" fillId="24" borderId="0" xfId="72" applyFont="1" applyFill="1" applyAlignment="1" applyProtection="1">
      <alignment vertical="center" wrapText="1"/>
      <protection/>
    </xf>
    <xf numFmtId="0" fontId="0" fillId="0" borderId="0" xfId="0" applyAlignment="1">
      <alignment vertical="center" wrapText="1"/>
    </xf>
    <xf numFmtId="0" fontId="8" fillId="0" borderId="15" xfId="0" applyFont="1" applyFill="1" applyBorder="1" applyAlignment="1" applyProtection="1">
      <alignment horizontal="center" vertical="center"/>
      <protection/>
    </xf>
    <xf numFmtId="0" fontId="8" fillId="0" borderId="88" xfId="0" applyFont="1" applyFill="1" applyBorder="1" applyAlignment="1" applyProtection="1">
      <alignment horizontal="center" vertical="center"/>
      <protection/>
    </xf>
    <xf numFmtId="0" fontId="8" fillId="0" borderId="35" xfId="0" applyFont="1" applyFill="1" applyBorder="1" applyAlignment="1" applyProtection="1">
      <alignment horizontal="center" vertical="center"/>
      <protection/>
    </xf>
    <xf numFmtId="0" fontId="57" fillId="0" borderId="164" xfId="0" applyFont="1" applyBorder="1" applyAlignment="1" applyProtection="1">
      <alignment horizontal="center" vertical="center" wrapText="1"/>
      <protection/>
    </xf>
    <xf numFmtId="0" fontId="57" fillId="0" borderId="167" xfId="0" applyFont="1" applyBorder="1" applyAlignment="1" applyProtection="1">
      <alignment horizontal="center" vertical="center" wrapText="1"/>
      <protection/>
    </xf>
    <xf numFmtId="0" fontId="57" fillId="0" borderId="103" xfId="0" applyFont="1" applyBorder="1" applyAlignment="1" applyProtection="1">
      <alignment horizontal="center" vertical="center" wrapText="1"/>
      <protection/>
    </xf>
    <xf numFmtId="0" fontId="57" fillId="0" borderId="0" xfId="0" applyFont="1" applyBorder="1" applyAlignment="1" applyProtection="1">
      <alignment horizontal="center" vertical="center" wrapText="1"/>
      <protection/>
    </xf>
    <xf numFmtId="0" fontId="8" fillId="0" borderId="164" xfId="0" applyFont="1" applyFill="1" applyBorder="1" applyAlignment="1" applyProtection="1">
      <alignment horizontal="center" vertical="center"/>
      <protection/>
    </xf>
    <xf numFmtId="0" fontId="8" fillId="0" borderId="167" xfId="0" applyFont="1" applyFill="1" applyBorder="1" applyAlignment="1" applyProtection="1">
      <alignment horizontal="center" vertical="center"/>
      <protection/>
    </xf>
    <xf numFmtId="0" fontId="8" fillId="0" borderId="103" xfId="0" applyFont="1" applyFill="1" applyBorder="1" applyAlignment="1" applyProtection="1">
      <alignment horizontal="center" vertical="center"/>
      <protection/>
    </xf>
    <xf numFmtId="0" fontId="9" fillId="0" borderId="18" xfId="0" applyFont="1" applyFill="1" applyBorder="1" applyAlignment="1" applyProtection="1">
      <alignment horizontal="center" vertical="center" wrapText="1"/>
      <protection/>
    </xf>
    <xf numFmtId="0" fontId="9" fillId="0" borderId="39" xfId="0" applyFont="1" applyFill="1" applyBorder="1" applyAlignment="1" applyProtection="1">
      <alignment horizontal="center" vertical="center" wrapText="1"/>
      <protection/>
    </xf>
    <xf numFmtId="0" fontId="9" fillId="0" borderId="18" xfId="0" applyFont="1" applyFill="1" applyBorder="1" applyAlignment="1" applyProtection="1">
      <alignment horizontal="center" vertical="center" wrapText="1"/>
      <protection/>
    </xf>
    <xf numFmtId="0" fontId="9" fillId="0" borderId="39" xfId="0" applyFont="1" applyFill="1" applyBorder="1" applyAlignment="1" applyProtection="1">
      <alignment horizontal="center" vertical="center" wrapText="1"/>
      <protection/>
    </xf>
    <xf numFmtId="0" fontId="9" fillId="0" borderId="45" xfId="0" applyFont="1" applyFill="1" applyBorder="1" applyAlignment="1" applyProtection="1">
      <alignment horizontal="center" vertical="center" wrapText="1"/>
      <protection/>
    </xf>
    <xf numFmtId="0" fontId="8" fillId="0" borderId="117" xfId="0" applyFont="1" applyBorder="1" applyAlignment="1">
      <alignment horizontal="left" vertical="center" wrapText="1"/>
    </xf>
    <xf numFmtId="0" fontId="25" fillId="24" borderId="37" xfId="0" applyFont="1" applyFill="1" applyBorder="1" applyAlignment="1">
      <alignment horizontal="center" vertical="center" wrapText="1"/>
    </xf>
    <xf numFmtId="0" fontId="25" fillId="24" borderId="37" xfId="0" applyFont="1" applyFill="1" applyBorder="1" applyAlignment="1">
      <alignment horizontal="center" wrapText="1"/>
    </xf>
    <xf numFmtId="0" fontId="25" fillId="24" borderId="79" xfId="0" applyFont="1" applyFill="1" applyBorder="1" applyAlignment="1">
      <alignment horizontal="center" wrapText="1"/>
    </xf>
    <xf numFmtId="0" fontId="25" fillId="24" borderId="64" xfId="0" applyFont="1" applyFill="1" applyBorder="1" applyAlignment="1">
      <alignment horizontal="center" wrapText="1"/>
    </xf>
    <xf numFmtId="0" fontId="25" fillId="24" borderId="60" xfId="0" applyFont="1" applyFill="1" applyBorder="1" applyAlignment="1">
      <alignment horizontal="center" wrapText="1"/>
    </xf>
    <xf numFmtId="0" fontId="7" fillId="24" borderId="37" xfId="0" applyFont="1" applyFill="1" applyBorder="1" applyAlignment="1">
      <alignment horizontal="center" wrapText="1"/>
    </xf>
    <xf numFmtId="0" fontId="25" fillId="24" borderId="64" xfId="0" applyFont="1" applyFill="1" applyBorder="1" applyAlignment="1">
      <alignment horizontal="center" vertical="center" wrapText="1"/>
    </xf>
    <xf numFmtId="0" fontId="25" fillId="24" borderId="83" xfId="0" applyFont="1" applyFill="1" applyBorder="1" applyAlignment="1">
      <alignment horizontal="center" wrapText="1"/>
    </xf>
    <xf numFmtId="0" fontId="10" fillId="24" borderId="0" xfId="0" applyFont="1" applyFill="1" applyBorder="1" applyAlignment="1">
      <alignment horizontal="left" vertical="center"/>
    </xf>
    <xf numFmtId="0" fontId="25" fillId="24" borderId="89" xfId="0" applyFont="1" applyFill="1" applyBorder="1" applyAlignment="1">
      <alignment horizontal="center" vertical="center" wrapText="1"/>
    </xf>
    <xf numFmtId="0" fontId="25" fillId="24" borderId="56" xfId="0" applyFont="1" applyFill="1" applyBorder="1" applyAlignment="1">
      <alignment horizontal="center" vertical="center" wrapText="1"/>
    </xf>
    <xf numFmtId="0" fontId="25" fillId="24" borderId="81" xfId="0" applyFont="1" applyFill="1" applyBorder="1" applyAlignment="1">
      <alignment horizontal="center" vertical="center" wrapText="1"/>
    </xf>
    <xf numFmtId="0" fontId="25" fillId="24" borderId="83" xfId="0" applyFont="1" applyFill="1" applyBorder="1" applyAlignment="1">
      <alignment horizontal="center" vertical="center" wrapText="1"/>
    </xf>
    <xf numFmtId="0" fontId="25" fillId="24" borderId="79" xfId="0" applyFont="1" applyFill="1" applyBorder="1" applyAlignment="1">
      <alignment horizontal="center" vertical="center" wrapText="1"/>
    </xf>
    <xf numFmtId="0" fontId="10" fillId="0" borderId="0" xfId="0" applyFont="1" applyBorder="1" applyAlignment="1" applyProtection="1">
      <alignment horizontal="left" vertical="top" wrapText="1"/>
      <protection/>
    </xf>
    <xf numFmtId="0" fontId="25" fillId="0" borderId="117" xfId="0" applyFont="1" applyBorder="1" applyAlignment="1">
      <alignment horizontal="left" vertical="center" wrapText="1"/>
    </xf>
    <xf numFmtId="0" fontId="21" fillId="24" borderId="18" xfId="75" applyFont="1" applyFill="1" applyBorder="1" applyAlignment="1" applyProtection="1">
      <alignment horizontal="center" vertical="center"/>
      <protection/>
    </xf>
    <xf numFmtId="0" fontId="0" fillId="0" borderId="39" xfId="0" applyBorder="1" applyAlignment="1" applyProtection="1">
      <alignment horizontal="center" vertical="center"/>
      <protection/>
    </xf>
    <xf numFmtId="0" fontId="21" fillId="24" borderId="44" xfId="75" applyFont="1" applyFill="1" applyBorder="1" applyAlignment="1" applyProtection="1">
      <alignment horizontal="center" vertical="center"/>
      <protection/>
    </xf>
    <xf numFmtId="0" fontId="9" fillId="24" borderId="40" xfId="76" applyFont="1" applyFill="1" applyBorder="1" applyAlignment="1">
      <alignment horizontal="center" vertical="center"/>
      <protection/>
    </xf>
    <xf numFmtId="0" fontId="0" fillId="0" borderId="15" xfId="0" applyBorder="1" applyAlignment="1">
      <alignment/>
    </xf>
    <xf numFmtId="0" fontId="0" fillId="0" borderId="38" xfId="0" applyBorder="1" applyAlignment="1">
      <alignment/>
    </xf>
    <xf numFmtId="0" fontId="21" fillId="24" borderId="18" xfId="75" applyFont="1" applyFill="1" applyBorder="1" applyAlignment="1" applyProtection="1">
      <alignment horizontal="center" vertical="center" wrapText="1"/>
      <protection/>
    </xf>
    <xf numFmtId="0" fontId="21" fillId="24" borderId="45" xfId="75" applyFont="1" applyFill="1" applyBorder="1" applyAlignment="1" applyProtection="1">
      <alignment horizontal="center" vertical="center" wrapText="1"/>
      <protection/>
    </xf>
    <xf numFmtId="0" fontId="8" fillId="0" borderId="19" xfId="0" applyFont="1" applyFill="1" applyBorder="1" applyAlignment="1" applyProtection="1">
      <alignment horizontal="center" vertical="center" wrapText="1"/>
      <protection/>
    </xf>
    <xf numFmtId="0" fontId="8" fillId="0" borderId="127" xfId="0" applyFont="1" applyFill="1" applyBorder="1" applyAlignment="1" applyProtection="1">
      <alignment horizontal="center" vertical="center" wrapText="1"/>
      <protection/>
    </xf>
    <xf numFmtId="0" fontId="8" fillId="0" borderId="87" xfId="0" applyFont="1" applyFill="1" applyBorder="1" applyAlignment="1" applyProtection="1">
      <alignment horizontal="center" vertical="center"/>
      <protection/>
    </xf>
    <xf numFmtId="0" fontId="21" fillId="0" borderId="19" xfId="75" applyFont="1" applyFill="1" applyBorder="1" applyAlignment="1" applyProtection="1">
      <alignment horizontal="center" vertical="center" wrapText="1"/>
      <protection/>
    </xf>
    <xf numFmtId="0" fontId="21" fillId="0" borderId="20" xfId="75" applyFont="1" applyFill="1" applyBorder="1" applyAlignment="1" applyProtection="1">
      <alignment horizontal="center" vertical="center" wrapText="1"/>
      <protection/>
    </xf>
    <xf numFmtId="0" fontId="21" fillId="0" borderId="105" xfId="75" applyFont="1" applyFill="1" applyBorder="1" applyAlignment="1" applyProtection="1">
      <alignment horizontal="center" vertical="center" wrapText="1"/>
      <protection/>
    </xf>
    <xf numFmtId="0" fontId="21" fillId="0" borderId="114" xfId="75" applyFont="1" applyFill="1" applyBorder="1" applyAlignment="1" applyProtection="1">
      <alignment horizontal="center" vertical="center" wrapText="1"/>
      <protection/>
    </xf>
    <xf numFmtId="0" fontId="21" fillId="0" borderId="113" xfId="75" applyFont="1" applyFill="1" applyBorder="1" applyAlignment="1" applyProtection="1">
      <alignment horizontal="center" vertical="center" wrapText="1"/>
      <protection/>
    </xf>
    <xf numFmtId="0" fontId="21" fillId="0" borderId="71" xfId="75" applyFont="1" applyFill="1" applyBorder="1" applyAlignment="1" applyProtection="1">
      <alignment horizontal="center" vertical="center" wrapText="1"/>
      <protection/>
    </xf>
    <xf numFmtId="0" fontId="21" fillId="0" borderId="105" xfId="76" applyFont="1" applyFill="1" applyBorder="1" applyAlignment="1" applyProtection="1">
      <alignment horizontal="center" vertical="center" wrapText="1"/>
      <protection/>
    </xf>
    <xf numFmtId="0" fontId="21" fillId="0" borderId="114" xfId="76" applyFont="1" applyFill="1" applyBorder="1" applyAlignment="1" applyProtection="1">
      <alignment horizontal="center" vertical="center" wrapText="1"/>
      <protection/>
    </xf>
    <xf numFmtId="0" fontId="21" fillId="0" borderId="19" xfId="76" applyFont="1" applyFill="1" applyBorder="1" applyAlignment="1" applyProtection="1">
      <alignment horizontal="center" vertical="center" wrapText="1"/>
      <protection/>
    </xf>
    <xf numFmtId="0" fontId="0" fillId="0" borderId="20" xfId="0" applyBorder="1" applyAlignment="1">
      <alignment horizontal="center" vertical="center" wrapText="1"/>
    </xf>
    <xf numFmtId="0" fontId="21" fillId="0" borderId="18" xfId="76" applyFont="1" applyFill="1" applyBorder="1" applyAlignment="1" applyProtection="1">
      <alignment horizontal="center" vertical="center"/>
      <protection/>
    </xf>
    <xf numFmtId="0" fontId="0" fillId="0" borderId="45" xfId="0" applyBorder="1" applyAlignment="1">
      <alignment horizontal="center" vertical="center"/>
    </xf>
    <xf numFmtId="0" fontId="21" fillId="0" borderId="105" xfId="76" applyFont="1" applyFill="1" applyBorder="1" applyAlignment="1" applyProtection="1">
      <alignment horizontal="center" vertical="center"/>
      <protection/>
    </xf>
    <xf numFmtId="0" fontId="21" fillId="0" borderId="71" xfId="76" applyFont="1" applyFill="1" applyBorder="1" applyAlignment="1" applyProtection="1">
      <alignment horizontal="center" vertical="center"/>
      <protection/>
    </xf>
    <xf numFmtId="0" fontId="21" fillId="0" borderId="18" xfId="76" applyFont="1" applyFill="1" applyBorder="1" applyAlignment="1" applyProtection="1">
      <alignment horizontal="center" vertical="center" wrapText="1"/>
      <protection/>
    </xf>
    <xf numFmtId="0" fontId="0" fillId="0" borderId="39" xfId="0" applyBorder="1" applyAlignment="1" applyProtection="1">
      <alignment horizontal="center" vertical="center" wrapText="1"/>
      <protection/>
    </xf>
    <xf numFmtId="0" fontId="21" fillId="0" borderId="20" xfId="76" applyFont="1" applyFill="1" applyBorder="1" applyAlignment="1" applyProtection="1">
      <alignment horizontal="center" vertical="center" wrapText="1"/>
      <protection/>
    </xf>
    <xf numFmtId="0" fontId="9" fillId="0" borderId="18" xfId="77" applyFont="1" applyFill="1" applyBorder="1" applyAlignment="1" applyProtection="1">
      <alignment horizontal="center" vertical="center"/>
      <protection/>
    </xf>
    <xf numFmtId="0" fontId="9" fillId="0" borderId="39" xfId="77" applyFont="1" applyFill="1" applyBorder="1" applyAlignment="1" applyProtection="1">
      <alignment horizontal="center" vertical="center"/>
      <protection/>
    </xf>
    <xf numFmtId="0" fontId="9" fillId="0" borderId="18" xfId="78" applyFont="1" applyFill="1" applyBorder="1" applyAlignment="1" applyProtection="1">
      <alignment horizontal="center" vertical="center"/>
      <protection/>
    </xf>
    <xf numFmtId="0" fontId="9" fillId="0" borderId="45" xfId="78" applyFont="1" applyFill="1" applyBorder="1" applyAlignment="1" applyProtection="1">
      <alignment horizontal="center" vertical="center"/>
      <protection/>
    </xf>
    <xf numFmtId="0" fontId="9" fillId="0" borderId="39" xfId="78" applyFont="1" applyFill="1" applyBorder="1" applyAlignment="1" applyProtection="1">
      <alignment horizontal="center" vertical="center"/>
      <protection/>
    </xf>
    <xf numFmtId="0" fontId="18" fillId="0" borderId="168" xfId="79" applyFont="1" applyFill="1" applyBorder="1" applyAlignment="1" applyProtection="1">
      <alignment horizontal="center" vertical="center" wrapText="1"/>
      <protection/>
    </xf>
    <xf numFmtId="0" fontId="18" fillId="0" borderId="27" xfId="79" applyFont="1" applyFill="1" applyBorder="1" applyAlignment="1" applyProtection="1">
      <alignment horizontal="center" vertical="center" wrapText="1"/>
      <protection/>
    </xf>
    <xf numFmtId="0" fontId="50" fillId="0" borderId="0" xfId="0" applyFont="1" applyAlignment="1">
      <alignment horizontal="center" wrapText="1"/>
    </xf>
    <xf numFmtId="0" fontId="50" fillId="0" borderId="117" xfId="0" applyFont="1" applyBorder="1" applyAlignment="1">
      <alignment horizontal="center" wrapText="1"/>
    </xf>
    <xf numFmtId="0" fontId="0" fillId="0" borderId="39" xfId="0" applyBorder="1" applyAlignment="1">
      <alignment horizontal="center" vertical="center" wrapText="1"/>
    </xf>
    <xf numFmtId="0" fontId="18" fillId="0" borderId="105" xfId="80" applyFont="1" applyFill="1" applyBorder="1" applyAlignment="1" applyProtection="1">
      <alignment horizontal="center" vertical="center" wrapText="1"/>
      <protection locked="0"/>
    </xf>
    <xf numFmtId="0" fontId="0" fillId="0" borderId="114" xfId="0" applyBorder="1" applyAlignment="1">
      <alignment/>
    </xf>
    <xf numFmtId="0" fontId="18" fillId="0" borderId="19" xfId="80" applyFont="1" applyFill="1" applyBorder="1" applyAlignment="1" applyProtection="1">
      <alignment horizontal="center" vertical="center" wrapText="1"/>
      <protection/>
    </xf>
    <xf numFmtId="0" fontId="18" fillId="0" borderId="105" xfId="80" applyFont="1" applyFill="1" applyBorder="1" applyAlignment="1" applyProtection="1">
      <alignment horizontal="center" vertical="center" wrapText="1"/>
      <protection/>
    </xf>
    <xf numFmtId="0" fontId="18" fillId="0" borderId="114" xfId="80" applyFont="1" applyFill="1" applyBorder="1" applyAlignment="1" applyProtection="1">
      <alignment horizontal="center" vertical="center" wrapText="1"/>
      <protection/>
    </xf>
    <xf numFmtId="0" fontId="88" fillId="0" borderId="19" xfId="0" applyFont="1" applyBorder="1" applyAlignment="1">
      <alignment horizontal="center" vertical="center" wrapText="1"/>
    </xf>
    <xf numFmtId="0" fontId="0" fillId="0" borderId="20" xfId="0" applyBorder="1" applyAlignment="1">
      <alignment vertical="center" wrapText="1"/>
    </xf>
    <xf numFmtId="0" fontId="18" fillId="0" borderId="19" xfId="80" applyFont="1" applyBorder="1" applyAlignment="1">
      <alignment horizontal="center" vertical="center" wrapText="1"/>
      <protection/>
    </xf>
    <xf numFmtId="0" fontId="18" fillId="0" borderId="19" xfId="80" applyFont="1" applyFill="1" applyBorder="1" applyAlignment="1" applyProtection="1">
      <alignment horizontal="center" vertical="center" wrapText="1"/>
      <protection/>
    </xf>
    <xf numFmtId="0" fontId="163" fillId="0" borderId="23" xfId="0" applyFont="1" applyBorder="1" applyAlignment="1">
      <alignment horizontal="left" vertical="center" wrapText="1"/>
    </xf>
    <xf numFmtId="0" fontId="163" fillId="0" borderId="0" xfId="0" applyFont="1" applyAlignment="1">
      <alignment horizontal="left" vertical="center" wrapText="1"/>
    </xf>
    <xf numFmtId="0" fontId="141" fillId="0" borderId="167" xfId="0" applyFont="1" applyBorder="1" applyAlignment="1">
      <alignment horizontal="center"/>
    </xf>
    <xf numFmtId="0" fontId="0" fillId="0" borderId="156" xfId="0" applyBorder="1" applyAlignment="1" applyProtection="1">
      <alignment vertical="top" wrapText="1"/>
      <protection locked="0"/>
    </xf>
    <xf numFmtId="0" fontId="0" fillId="0" borderId="153" xfId="0" applyBorder="1" applyAlignment="1" applyProtection="1">
      <alignment vertical="top" wrapText="1"/>
      <protection locked="0"/>
    </xf>
    <xf numFmtId="0" fontId="0" fillId="0" borderId="73" xfId="0" applyBorder="1" applyAlignment="1" applyProtection="1">
      <alignment vertical="top" wrapText="1"/>
      <protection locked="0"/>
    </xf>
    <xf numFmtId="0" fontId="6" fillId="0" borderId="0" xfId="0" applyFont="1" applyAlignment="1">
      <alignment horizontal="left" wrapText="1"/>
    </xf>
    <xf numFmtId="0" fontId="144" fillId="0" borderId="117" xfId="0" applyFont="1" applyBorder="1" applyAlignment="1">
      <alignment horizontal="center" vertical="center" wrapText="1"/>
    </xf>
    <xf numFmtId="0" fontId="26" fillId="0" borderId="47" xfId="0" applyFont="1" applyBorder="1" applyAlignment="1">
      <alignment horizontal="center"/>
    </xf>
    <xf numFmtId="0" fontId="26" fillId="0" borderId="12" xfId="0" applyFont="1" applyBorder="1" applyAlignment="1">
      <alignment horizontal="center"/>
    </xf>
    <xf numFmtId="0" fontId="26" fillId="0" borderId="32" xfId="0" applyFont="1" applyBorder="1" applyAlignment="1">
      <alignment horizontal="center"/>
    </xf>
    <xf numFmtId="0" fontId="24" fillId="0" borderId="146" xfId="53" applyFont="1" applyFill="1" applyBorder="1" applyAlignment="1" applyProtection="1">
      <alignment horizontal="center" vertical="center" wrapText="1"/>
      <protection/>
    </xf>
    <xf numFmtId="0" fontId="6" fillId="0" borderId="165" xfId="53" applyFont="1" applyFill="1" applyBorder="1" applyAlignment="1">
      <alignment wrapText="1"/>
      <protection/>
    </xf>
    <xf numFmtId="0" fontId="6" fillId="0" borderId="169" xfId="53" applyFont="1" applyFill="1" applyBorder="1" applyAlignment="1">
      <alignment wrapText="1"/>
      <protection/>
    </xf>
    <xf numFmtId="0" fontId="5" fillId="0" borderId="146" xfId="53" applyFont="1" applyBorder="1" applyAlignment="1" applyProtection="1">
      <alignment horizontal="center" vertical="center" wrapText="1"/>
      <protection/>
    </xf>
    <xf numFmtId="0" fontId="17" fillId="0" borderId="165" xfId="58" applyFont="1" applyBorder="1" applyAlignment="1">
      <alignment wrapText="1"/>
      <protection/>
    </xf>
    <xf numFmtId="0" fontId="17" fillId="0" borderId="169" xfId="58" applyFont="1" applyBorder="1" applyAlignment="1">
      <alignment wrapText="1"/>
      <protection/>
    </xf>
    <xf numFmtId="0" fontId="5" fillId="0" borderId="146" xfId="53" applyFont="1" applyFill="1" applyBorder="1" applyAlignment="1" applyProtection="1">
      <alignment horizontal="center" vertical="center" wrapText="1"/>
      <protection/>
    </xf>
    <xf numFmtId="0" fontId="17" fillId="0" borderId="165" xfId="58" applyFont="1" applyFill="1" applyBorder="1" applyAlignment="1">
      <alignment wrapText="1"/>
      <protection/>
    </xf>
    <xf numFmtId="0" fontId="17" fillId="0" borderId="169" xfId="58" applyFont="1" applyFill="1" applyBorder="1" applyAlignment="1">
      <alignment wrapText="1"/>
      <protection/>
    </xf>
    <xf numFmtId="0" fontId="5" fillId="0" borderId="169" xfId="53" applyFont="1" applyBorder="1" applyAlignment="1" applyProtection="1">
      <alignment horizontal="center" vertical="center" wrapText="1"/>
      <protection/>
    </xf>
    <xf numFmtId="173" fontId="32" fillId="0" borderId="146" xfId="73" applyNumberFormat="1" applyFont="1" applyBorder="1" applyAlignment="1" applyProtection="1">
      <alignment horizontal="center" vertical="center" wrapText="1"/>
      <protection/>
    </xf>
    <xf numFmtId="0" fontId="164" fillId="0" borderId="169" xfId="61" applyFont="1" applyBorder="1" applyAlignment="1">
      <alignment horizontal="center" vertical="center" wrapText="1"/>
      <protection/>
    </xf>
    <xf numFmtId="173" fontId="5" fillId="0" borderId="146" xfId="73" applyNumberFormat="1" applyFont="1" applyBorder="1" applyAlignment="1" applyProtection="1">
      <alignment horizontal="center" vertical="center" wrapText="1"/>
      <protection/>
    </xf>
    <xf numFmtId="0" fontId="138" fillId="0" borderId="165" xfId="59" applyBorder="1" applyAlignment="1">
      <alignment horizontal="center" vertical="center" wrapText="1"/>
      <protection/>
    </xf>
    <xf numFmtId="0" fontId="138" fillId="0" borderId="169" xfId="59" applyBorder="1" applyAlignment="1">
      <alignment horizontal="center" vertical="center" wrapText="1"/>
      <protection/>
    </xf>
    <xf numFmtId="49" fontId="150" fillId="0" borderId="64" xfId="61" applyNumberFormat="1" applyFont="1" applyBorder="1" applyAlignment="1" applyProtection="1">
      <alignment horizontal="center" vertical="center" wrapText="1"/>
      <protection locked="0"/>
    </xf>
    <xf numFmtId="49" fontId="150" fillId="0" borderId="137" xfId="61" applyNumberFormat="1" applyFont="1" applyBorder="1" applyAlignment="1" applyProtection="1">
      <alignment horizontal="center" vertical="center" wrapText="1"/>
      <protection locked="0"/>
    </xf>
    <xf numFmtId="49" fontId="150" fillId="0" borderId="60" xfId="61" applyNumberFormat="1" applyFont="1" applyBorder="1" applyAlignment="1" applyProtection="1">
      <alignment horizontal="center" vertical="center" wrapText="1"/>
      <protection locked="0"/>
    </xf>
    <xf numFmtId="0" fontId="164" fillId="0" borderId="169" xfId="59" applyFont="1" applyBorder="1" applyAlignment="1">
      <alignment horizontal="center" vertical="center" wrapText="1"/>
      <protection/>
    </xf>
    <xf numFmtId="49" fontId="150" fillId="0" borderId="64" xfId="59" applyNumberFormat="1" applyFont="1" applyBorder="1" applyAlignment="1" applyProtection="1">
      <alignment horizontal="center" vertical="center" wrapText="1"/>
      <protection locked="0"/>
    </xf>
    <xf numFmtId="49" fontId="150" fillId="0" borderId="137" xfId="59" applyNumberFormat="1" applyFont="1" applyBorder="1" applyAlignment="1" applyProtection="1">
      <alignment horizontal="center" vertical="center" wrapText="1"/>
      <protection locked="0"/>
    </xf>
    <xf numFmtId="49" fontId="150" fillId="0" borderId="60" xfId="59" applyNumberFormat="1" applyFont="1" applyBorder="1" applyAlignment="1" applyProtection="1">
      <alignment horizontal="center" vertical="center" wrapText="1"/>
      <protection locked="0"/>
    </xf>
    <xf numFmtId="0" fontId="0" fillId="0" borderId="0" xfId="0" applyAlignment="1" applyProtection="1">
      <alignment/>
      <protection/>
    </xf>
    <xf numFmtId="0" fontId="165" fillId="0" borderId="117" xfId="0" applyFont="1" applyBorder="1" applyAlignment="1" applyProtection="1">
      <alignment horizontal="right" vertical="top" wrapText="1"/>
      <protection/>
    </xf>
    <xf numFmtId="0" fontId="166" fillId="0" borderId="0" xfId="0" applyFont="1" applyBorder="1" applyAlignment="1" applyProtection="1">
      <alignment horizontal="right"/>
      <protection/>
    </xf>
    <xf numFmtId="3" fontId="17" fillId="0" borderId="58" xfId="0" applyNumberFormat="1" applyFont="1" applyFill="1" applyBorder="1" applyAlignment="1" applyProtection="1">
      <alignment/>
      <protection locked="0"/>
    </xf>
    <xf numFmtId="0" fontId="17" fillId="0" borderId="166" xfId="0" applyNumberFormat="1" applyFont="1" applyFill="1" applyBorder="1" applyAlignment="1" applyProtection="1">
      <alignment/>
      <protection locked="0"/>
    </xf>
    <xf numFmtId="0" fontId="8" fillId="0" borderId="64" xfId="0" applyFont="1" applyBorder="1" applyAlignment="1">
      <alignment horizontal="center"/>
    </xf>
    <xf numFmtId="0" fontId="8" fillId="0" borderId="137" xfId="0" applyFont="1" applyBorder="1" applyAlignment="1">
      <alignment horizontal="center"/>
    </xf>
    <xf numFmtId="0" fontId="8" fillId="0" borderId="60" xfId="0" applyFont="1" applyBorder="1" applyAlignment="1">
      <alignment horizontal="center"/>
    </xf>
    <xf numFmtId="0" fontId="25" fillId="0" borderId="0" xfId="0" applyFont="1" applyBorder="1" applyAlignment="1">
      <alignment horizontal="left" vertical="center" wrapText="1"/>
    </xf>
    <xf numFmtId="0" fontId="8" fillId="0" borderId="64" xfId="0" applyFont="1" applyBorder="1" applyAlignment="1">
      <alignment horizontal="center" wrapText="1"/>
    </xf>
    <xf numFmtId="0" fontId="8" fillId="0" borderId="137" xfId="0" applyFont="1" applyBorder="1" applyAlignment="1">
      <alignment horizontal="center" wrapText="1"/>
    </xf>
    <xf numFmtId="0" fontId="8" fillId="0" borderId="60" xfId="0" applyFont="1" applyBorder="1" applyAlignment="1">
      <alignment horizontal="center" wrapText="1"/>
    </xf>
    <xf numFmtId="0" fontId="8" fillId="0" borderId="64" xfId="0" applyFont="1" applyBorder="1" applyAlignment="1">
      <alignment horizontal="center"/>
    </xf>
    <xf numFmtId="0" fontId="8" fillId="0" borderId="137" xfId="0" applyFont="1" applyBorder="1" applyAlignment="1">
      <alignment horizontal="center"/>
    </xf>
    <xf numFmtId="0" fontId="8" fillId="0" borderId="60" xfId="0" applyFont="1" applyBorder="1" applyAlignment="1">
      <alignment horizontal="center"/>
    </xf>
    <xf numFmtId="0" fontId="50" fillId="0" borderId="0" xfId="0" applyFont="1" applyAlignment="1">
      <alignment horizontal="center" vertical="center" wrapText="1"/>
    </xf>
    <xf numFmtId="0" fontId="22" fillId="0" borderId="164" xfId="0" applyFont="1" applyBorder="1" applyAlignment="1">
      <alignment horizontal="left" wrapText="1"/>
    </xf>
    <xf numFmtId="0" fontId="22" fillId="0" borderId="167" xfId="0" applyFont="1" applyBorder="1" applyAlignment="1">
      <alignment horizontal="left" wrapText="1"/>
    </xf>
    <xf numFmtId="0" fontId="22" fillId="0" borderId="103" xfId="0" applyFont="1" applyBorder="1" applyAlignment="1">
      <alignment horizontal="left" wrapText="1"/>
    </xf>
    <xf numFmtId="10" fontId="6" fillId="0" borderId="170" xfId="83" applyNumberFormat="1" applyFont="1" applyBorder="1" applyAlignment="1">
      <alignment horizontal="center" vertical="center" wrapText="1"/>
    </xf>
    <xf numFmtId="10" fontId="6" fillId="0" borderId="165" xfId="83" applyNumberFormat="1" applyFont="1" applyBorder="1" applyAlignment="1">
      <alignment horizontal="center" vertical="center" wrapText="1"/>
    </xf>
    <xf numFmtId="10" fontId="6" fillId="0" borderId="169" xfId="83" applyNumberFormat="1" applyFont="1" applyBorder="1" applyAlignment="1">
      <alignment horizontal="center" vertical="center" wrapText="1"/>
    </xf>
    <xf numFmtId="0" fontId="14" fillId="0" borderId="156" xfId="0" applyFont="1" applyBorder="1" applyAlignment="1">
      <alignment horizontal="right"/>
    </xf>
    <xf numFmtId="0" fontId="14" fillId="0" borderId="153" xfId="0" applyFont="1" applyBorder="1" applyAlignment="1">
      <alignment horizontal="right"/>
    </xf>
    <xf numFmtId="0" fontId="14" fillId="0" borderId="157" xfId="0" applyFont="1" applyBorder="1" applyAlignment="1">
      <alignment horizontal="right"/>
    </xf>
    <xf numFmtId="0" fontId="22" fillId="0" borderId="164" xfId="0" applyFont="1" applyBorder="1" applyAlignment="1">
      <alignment horizontal="left" vertical="top" wrapText="1"/>
    </xf>
    <xf numFmtId="0" fontId="22" fillId="0" borderId="167" xfId="0" applyFont="1" applyBorder="1" applyAlignment="1">
      <alignment horizontal="left" vertical="top" wrapText="1"/>
    </xf>
    <xf numFmtId="0" fontId="22" fillId="0" borderId="103" xfId="0" applyFont="1" applyBorder="1" applyAlignment="1">
      <alignment horizontal="left" vertical="top" wrapText="1"/>
    </xf>
    <xf numFmtId="0" fontId="6" fillId="0" borderId="23"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43"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17" xfId="0" applyFont="1" applyFill="1" applyBorder="1" applyAlignment="1">
      <alignment horizontal="center" vertical="center"/>
    </xf>
    <xf numFmtId="0" fontId="6" fillId="0" borderId="162"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87" xfId="0" applyFont="1" applyFill="1" applyBorder="1" applyAlignment="1">
      <alignment horizontal="center" vertical="center"/>
    </xf>
    <xf numFmtId="0" fontId="6" fillId="0" borderId="78" xfId="0" applyFont="1" applyFill="1" applyBorder="1" applyAlignment="1">
      <alignment horizontal="center" vertical="center"/>
    </xf>
    <xf numFmtId="0" fontId="6" fillId="0" borderId="164" xfId="0" applyFont="1" applyBorder="1" applyAlignment="1">
      <alignment horizontal="center" vertical="center" wrapText="1"/>
    </xf>
    <xf numFmtId="0" fontId="6" fillId="0" borderId="167" xfId="0" applyFont="1" applyBorder="1" applyAlignment="1">
      <alignment horizontal="center" vertical="center" wrapText="1"/>
    </xf>
    <xf numFmtId="0" fontId="6" fillId="0" borderId="103" xfId="0" applyFont="1" applyBorder="1" applyAlignment="1">
      <alignment horizontal="center" vertical="center" wrapText="1"/>
    </xf>
    <xf numFmtId="0" fontId="6" fillId="0" borderId="164" xfId="0" applyFont="1" applyFill="1" applyBorder="1" applyAlignment="1">
      <alignment horizontal="center" vertical="center"/>
    </xf>
    <xf numFmtId="0" fontId="0" fillId="0" borderId="167" xfId="0" applyFont="1" applyBorder="1" applyAlignment="1">
      <alignment horizontal="center" vertical="center"/>
    </xf>
    <xf numFmtId="0" fontId="0" fillId="0" borderId="103" xfId="0" applyFont="1" applyBorder="1" applyAlignment="1">
      <alignment horizontal="center" vertical="center"/>
    </xf>
    <xf numFmtId="0" fontId="0" fillId="0" borderId="87" xfId="0" applyFont="1" applyBorder="1" applyAlignment="1">
      <alignment horizontal="center" vertical="center"/>
    </xf>
    <xf numFmtId="0" fontId="0" fillId="0" borderId="78" xfId="0" applyFont="1" applyBorder="1" applyAlignment="1">
      <alignment horizontal="center" vertical="center"/>
    </xf>
    <xf numFmtId="0" fontId="0" fillId="0" borderId="23" xfId="0" applyFont="1" applyBorder="1" applyAlignment="1">
      <alignment horizontal="center" vertical="center"/>
    </xf>
    <xf numFmtId="0" fontId="0" fillId="0" borderId="0" xfId="0" applyFont="1" applyAlignment="1">
      <alignment horizontal="center" vertical="center"/>
    </xf>
    <xf numFmtId="0" fontId="0" fillId="0" borderId="43" xfId="0" applyFont="1" applyBorder="1" applyAlignment="1">
      <alignment horizontal="center" vertical="center"/>
    </xf>
    <xf numFmtId="0" fontId="0" fillId="0" borderId="16" xfId="0" applyFont="1" applyBorder="1" applyAlignment="1">
      <alignment horizontal="center" vertical="center"/>
    </xf>
    <xf numFmtId="0" fontId="0" fillId="0" borderId="117" xfId="0" applyFont="1" applyBorder="1" applyAlignment="1">
      <alignment horizontal="center" vertical="center"/>
    </xf>
    <xf numFmtId="0" fontId="0" fillId="0" borderId="162" xfId="0" applyFont="1" applyBorder="1" applyAlignment="1">
      <alignment horizontal="center" vertical="center"/>
    </xf>
    <xf numFmtId="0" fontId="6" fillId="0" borderId="167" xfId="0" applyFont="1" applyFill="1" applyBorder="1" applyAlignment="1">
      <alignment horizontal="center" vertical="center"/>
    </xf>
    <xf numFmtId="0" fontId="6" fillId="0" borderId="103" xfId="0" applyFont="1" applyFill="1" applyBorder="1" applyAlignment="1">
      <alignment horizontal="center" vertical="center"/>
    </xf>
    <xf numFmtId="3" fontId="33" fillId="0" borderId="150" xfId="0" applyNumberFormat="1" applyFont="1" applyBorder="1" applyAlignment="1">
      <alignment horizontal="center"/>
    </xf>
    <xf numFmtId="0" fontId="0" fillId="0" borderId="167" xfId="0" applyFont="1" applyBorder="1" applyAlignment="1">
      <alignment/>
    </xf>
    <xf numFmtId="0" fontId="0" fillId="0" borderId="103" xfId="0" applyFont="1" applyBorder="1" applyAlignment="1">
      <alignment/>
    </xf>
    <xf numFmtId="0" fontId="14" fillId="0" borderId="164" xfId="0" applyFont="1" applyFill="1" applyBorder="1" applyAlignment="1">
      <alignment horizontal="center" vertical="center" wrapText="1"/>
    </xf>
    <xf numFmtId="0" fontId="14" fillId="0" borderId="167" xfId="0" applyFont="1" applyFill="1" applyBorder="1" applyAlignment="1">
      <alignment horizontal="center" vertical="center" wrapText="1"/>
    </xf>
    <xf numFmtId="0" fontId="14" fillId="0" borderId="103" xfId="0" applyFont="1" applyFill="1" applyBorder="1" applyAlignment="1">
      <alignment horizontal="center" vertical="center" wrapText="1"/>
    </xf>
    <xf numFmtId="0" fontId="10" fillId="0" borderId="0" xfId="0" applyFont="1" applyBorder="1" applyAlignment="1" applyProtection="1">
      <alignment horizontal="center" vertical="top" wrapText="1"/>
      <protection/>
    </xf>
    <xf numFmtId="0" fontId="13" fillId="0" borderId="0" xfId="0" applyFont="1" applyAlignment="1">
      <alignment horizontal="left" wrapText="1"/>
    </xf>
    <xf numFmtId="0" fontId="22" fillId="24" borderId="10" xfId="0" applyFont="1" applyFill="1" applyBorder="1" applyAlignment="1">
      <alignment horizontal="center" vertical="center" wrapText="1"/>
    </xf>
    <xf numFmtId="0" fontId="22" fillId="24" borderId="87" xfId="0" applyFont="1" applyFill="1" applyBorder="1" applyAlignment="1">
      <alignment horizontal="center" vertical="center" wrapText="1"/>
    </xf>
    <xf numFmtId="0" fontId="22" fillId="24" borderId="78" xfId="0" applyFont="1" applyFill="1" applyBorder="1" applyAlignment="1">
      <alignment horizontal="center" vertical="center" wrapText="1"/>
    </xf>
    <xf numFmtId="0" fontId="22" fillId="24" borderId="98" xfId="0" applyFont="1" applyFill="1" applyBorder="1" applyAlignment="1">
      <alignment horizontal="center" vertical="center" wrapText="1"/>
    </xf>
    <xf numFmtId="0" fontId="22" fillId="24" borderId="144" xfId="0" applyFont="1" applyFill="1" applyBorder="1" applyAlignment="1">
      <alignment horizontal="center" vertical="center" wrapText="1"/>
    </xf>
    <xf numFmtId="0" fontId="22" fillId="24" borderId="145" xfId="0" applyFont="1" applyFill="1" applyBorder="1" applyAlignment="1">
      <alignment horizontal="center" vertical="center" wrapText="1"/>
    </xf>
    <xf numFmtId="0" fontId="22" fillId="0" borderId="80" xfId="0" applyFont="1" applyBorder="1" applyAlignment="1">
      <alignment horizontal="center" wrapText="1"/>
    </xf>
  </cellXfs>
  <cellStyles count="85">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Logico" xfId="46"/>
    <cellStyle name="Comma" xfId="47"/>
    <cellStyle name="Migliaia (0)_3tabella15" xfId="48"/>
    <cellStyle name="Comma [0]" xfId="49"/>
    <cellStyle name="Migliaia 2" xfId="50"/>
    <cellStyle name="Migliaia 2 2" xfId="51"/>
    <cellStyle name="Neutrale" xfId="52"/>
    <cellStyle name="Normale 2" xfId="53"/>
    <cellStyle name="Normale 2 2" xfId="54"/>
    <cellStyle name="Normale 2 2 2" xfId="55"/>
    <cellStyle name="Normale 2 3" xfId="56"/>
    <cellStyle name="Normale 2 4" xfId="57"/>
    <cellStyle name="Normale 3" xfId="58"/>
    <cellStyle name="Normale 3 2" xfId="59"/>
    <cellStyle name="Normale 3 3" xfId="60"/>
    <cellStyle name="Normale 4" xfId="61"/>
    <cellStyle name="Normale 4 2" xfId="62"/>
    <cellStyle name="Normale 5" xfId="63"/>
    <cellStyle name="Normale 5 2" xfId="64"/>
    <cellStyle name="Normale 5 2 2" xfId="65"/>
    <cellStyle name="Normale 6" xfId="66"/>
    <cellStyle name="Normale 7" xfId="67"/>
    <cellStyle name="Normale 8" xfId="68"/>
    <cellStyle name="Normale_ENTI LOCALI  2000" xfId="69"/>
    <cellStyle name="Normale_MINISTERI" xfId="70"/>
    <cellStyle name="Normale_modello si2 raln_MODIFICATO_ALESSIO" xfId="71"/>
    <cellStyle name="Normale_PRINFEL98" xfId="72"/>
    <cellStyle name="Normale_PRINFEL98_modello si2 raln_MODIFICATO_ALESSIO 2" xfId="73"/>
    <cellStyle name="Normale_Prospetto informativo 2001" xfId="74"/>
    <cellStyle name="Normale_tabella 4" xfId="75"/>
    <cellStyle name="Normale_tabella 5" xfId="76"/>
    <cellStyle name="Normale_tabella 6" xfId="77"/>
    <cellStyle name="Normale_tabella 7" xfId="78"/>
    <cellStyle name="Normale_tabella 8" xfId="79"/>
    <cellStyle name="Normale_tabella 9" xfId="80"/>
    <cellStyle name="Nota" xfId="81"/>
    <cellStyle name="Output" xfId="82"/>
    <cellStyle name="Percent" xfId="83"/>
    <cellStyle name="Percentuale 2" xfId="84"/>
    <cellStyle name="Percentuale 2 2" xfId="85"/>
    <cellStyle name="Testo avviso" xfId="86"/>
    <cellStyle name="Testo descrittivo" xfId="87"/>
    <cellStyle name="Titolo" xfId="88"/>
    <cellStyle name="Titolo 1" xfId="89"/>
    <cellStyle name="Titolo 2" xfId="90"/>
    <cellStyle name="Titolo 3" xfId="91"/>
    <cellStyle name="Titolo 4" xfId="92"/>
    <cellStyle name="Totale" xfId="93"/>
    <cellStyle name="Valore non valido" xfId="94"/>
    <cellStyle name="Valore valido" xfId="95"/>
    <cellStyle name="Currency" xfId="96"/>
    <cellStyle name="Valuta (0)_3tabella15" xfId="97"/>
    <cellStyle name="Currency [0]" xfId="98"/>
  </cellStyles>
  <dxfs count="16">
    <dxf>
      <font>
        <color rgb="FFFF0000"/>
      </font>
    </dxf>
    <dxf>
      <font>
        <color rgb="FFFF0000"/>
      </font>
    </dxf>
    <dxf>
      <font>
        <color rgb="FFFF0000"/>
      </font>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externalLink" Target="externalLinks/externalLink1.xml" /><Relationship Id="rId42" Type="http://schemas.openxmlformats.org/officeDocument/2006/relationships/externalLink" Target="externalLinks/externalLink2.xml" /><Relationship Id="rId43" Type="http://schemas.openxmlformats.org/officeDocument/2006/relationships/externalLink" Target="externalLinks/externalLink3.xml" /><Relationship Id="rId44" Type="http://schemas.openxmlformats.org/officeDocument/2006/relationships/externalLink" Target="externalLinks/externalLink4.xml" /><Relationship Id="rId4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3675"/>
          <c:w val="0.999"/>
          <c:h val="0.6845"/>
        </c:manualLayout>
      </c:layout>
      <c:barChart>
        <c:barDir val="col"/>
        <c:grouping val="clustered"/>
        <c:varyColors val="0"/>
        <c:ser>
          <c:idx val="0"/>
          <c:order val="0"/>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SI_1!$B$186:$B$204</c:f>
              <c:strCache/>
            </c:strRef>
          </c:cat>
          <c:val>
            <c:numRef>
              <c:f>SI_1!$C$186:$C$204</c:f>
              <c:numCache/>
            </c:numRef>
          </c:val>
        </c:ser>
        <c:axId val="59557934"/>
        <c:axId val="66259359"/>
      </c:barChart>
      <c:catAx>
        <c:axId val="59557934"/>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800" b="1" i="0" u="none" baseline="0">
                <a:solidFill>
                  <a:srgbClr val="000000"/>
                </a:solidFill>
              </a:defRPr>
            </a:pPr>
          </a:p>
        </c:txPr>
        <c:crossAx val="66259359"/>
        <c:crossesAt val="0"/>
        <c:auto val="1"/>
        <c:lblOffset val="100"/>
        <c:tickLblSkip val="1"/>
        <c:noMultiLvlLbl val="0"/>
      </c:catAx>
      <c:valAx>
        <c:axId val="66259359"/>
        <c:scaling>
          <c:orientation val="minMax"/>
          <c:max val="1"/>
        </c:scaling>
        <c:axPos val="l"/>
        <c:delete val="1"/>
        <c:majorTickMark val="out"/>
        <c:minorTickMark val="none"/>
        <c:tickLblPos val="nextTo"/>
        <c:crossAx val="59557934"/>
        <c:crossesAt val="1"/>
        <c:crossBetween val="between"/>
        <c:dispUnits/>
        <c:majorUnit val="1"/>
        <c:minorUnit val="0.04"/>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
          <c:y val="0.052"/>
          <c:w val="0.979"/>
          <c:h val="0.78675"/>
        </c:manualLayout>
      </c:layout>
      <c:barChart>
        <c:barDir val="col"/>
        <c:grouping val="clustered"/>
        <c:varyColors val="0"/>
        <c:ser>
          <c:idx val="0"/>
          <c:order val="0"/>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SI_1!$E$186:$E$207</c:f>
              <c:strCache/>
            </c:strRef>
          </c:cat>
          <c:val>
            <c:numRef>
              <c:f>SI_1!$F$186:$F$207</c:f>
              <c:numCache/>
            </c:numRef>
          </c:val>
        </c:ser>
        <c:axId val="59463320"/>
        <c:axId val="65407833"/>
      </c:barChart>
      <c:catAx>
        <c:axId val="59463320"/>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700" b="1" i="0" u="none" baseline="0">
                <a:solidFill>
                  <a:srgbClr val="000000"/>
                </a:solidFill>
              </a:defRPr>
            </a:pPr>
          </a:p>
        </c:txPr>
        <c:crossAx val="65407833"/>
        <c:crosses val="autoZero"/>
        <c:auto val="1"/>
        <c:lblOffset val="100"/>
        <c:tickLblSkip val="1"/>
        <c:noMultiLvlLbl val="0"/>
      </c:catAx>
      <c:valAx>
        <c:axId val="65407833"/>
        <c:scaling>
          <c:orientation val="minMax"/>
        </c:scaling>
        <c:axPos val="l"/>
        <c:delete val="1"/>
        <c:majorTickMark val="out"/>
        <c:minorTickMark val="none"/>
        <c:tickLblPos val="nextTo"/>
        <c:crossAx val="59463320"/>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180</xdr:row>
      <xdr:rowOff>0</xdr:rowOff>
    </xdr:from>
    <xdr:ext cx="104775" cy="190500"/>
    <xdr:sp fLocksText="0">
      <xdr:nvSpPr>
        <xdr:cNvPr id="1" name="Text Box 7"/>
        <xdr:cNvSpPr txBox="1">
          <a:spLocks noChangeArrowheads="1"/>
        </xdr:cNvSpPr>
      </xdr:nvSpPr>
      <xdr:spPr>
        <a:xfrm>
          <a:off x="4800600" y="17592675"/>
          <a:ext cx="104775" cy="190500"/>
        </a:xfrm>
        <a:prstGeom prst="rect">
          <a:avLst/>
        </a:prstGeom>
        <a:noFill/>
        <a:ln w="9525" cmpd="sng">
          <a:noFill/>
        </a:ln>
      </xdr:spPr>
      <xdr:txBody>
        <a:bodyPr vertOverflow="clip" wrap="square"/>
        <a:p>
          <a:pPr algn="l">
            <a:defRPr/>
          </a:pPr>
          <a:r>
            <a:rPr lang="en-US" cap="none" u="none" baseline="0">
              <a:latin typeface="Helv"/>
              <a:ea typeface="Helv"/>
              <a:cs typeface="Helv"/>
            </a:rPr>
            <a:t/>
          </a:r>
        </a:p>
      </xdr:txBody>
    </xdr:sp>
    <xdr:clientData/>
  </xdr:oneCellAnchor>
  <xdr:twoCellAnchor>
    <xdr:from>
      <xdr:col>3</xdr:col>
      <xdr:colOff>609600</xdr:colOff>
      <xdr:row>31</xdr:row>
      <xdr:rowOff>0</xdr:rowOff>
    </xdr:from>
    <xdr:to>
      <xdr:col>3</xdr:col>
      <xdr:colOff>609600</xdr:colOff>
      <xdr:row>31</xdr:row>
      <xdr:rowOff>0</xdr:rowOff>
    </xdr:to>
    <xdr:sp>
      <xdr:nvSpPr>
        <xdr:cNvPr id="2" name="Line 8"/>
        <xdr:cNvSpPr>
          <a:spLocks/>
        </xdr:cNvSpPr>
      </xdr:nvSpPr>
      <xdr:spPr>
        <a:xfrm>
          <a:off x="4238625" y="7134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685800</xdr:colOff>
      <xdr:row>31</xdr:row>
      <xdr:rowOff>0</xdr:rowOff>
    </xdr:from>
    <xdr:to>
      <xdr:col>5</xdr:col>
      <xdr:colOff>685800</xdr:colOff>
      <xdr:row>31</xdr:row>
      <xdr:rowOff>0</xdr:rowOff>
    </xdr:to>
    <xdr:sp>
      <xdr:nvSpPr>
        <xdr:cNvPr id="3" name="Line 9"/>
        <xdr:cNvSpPr>
          <a:spLocks/>
        </xdr:cNvSpPr>
      </xdr:nvSpPr>
      <xdr:spPr>
        <a:xfrm>
          <a:off x="7810500" y="7134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1</xdr:col>
      <xdr:colOff>9525</xdr:colOff>
      <xdr:row>180</xdr:row>
      <xdr:rowOff>0</xdr:rowOff>
    </xdr:from>
    <xdr:to>
      <xdr:col>7</xdr:col>
      <xdr:colOff>0</xdr:colOff>
      <xdr:row>181</xdr:row>
      <xdr:rowOff>114300</xdr:rowOff>
    </xdr:to>
    <xdr:graphicFrame>
      <xdr:nvGraphicFramePr>
        <xdr:cNvPr id="4" name="Chart 19"/>
        <xdr:cNvGraphicFramePr/>
      </xdr:nvGraphicFramePr>
      <xdr:xfrm>
        <a:off x="390525" y="17592675"/>
        <a:ext cx="9877425" cy="762000"/>
      </xdr:xfrm>
      <a:graphic>
        <a:graphicData uri="http://schemas.openxmlformats.org/drawingml/2006/chart">
          <c:chart xmlns:c="http://schemas.openxmlformats.org/drawingml/2006/chart" r:id="rId1"/>
        </a:graphicData>
      </a:graphic>
    </xdr:graphicFrame>
    <xdr:clientData/>
  </xdr:twoCellAnchor>
  <xdr:twoCellAnchor>
    <xdr:from>
      <xdr:col>0</xdr:col>
      <xdr:colOff>371475</xdr:colOff>
      <xdr:row>182</xdr:row>
      <xdr:rowOff>9525</xdr:rowOff>
    </xdr:from>
    <xdr:to>
      <xdr:col>7</xdr:col>
      <xdr:colOff>0</xdr:colOff>
      <xdr:row>184</xdr:row>
      <xdr:rowOff>304800</xdr:rowOff>
    </xdr:to>
    <xdr:graphicFrame>
      <xdr:nvGraphicFramePr>
        <xdr:cNvPr id="5" name="Chart 20"/>
        <xdr:cNvGraphicFramePr/>
      </xdr:nvGraphicFramePr>
      <xdr:xfrm>
        <a:off x="371475" y="18735675"/>
        <a:ext cx="9896475" cy="1181100"/>
      </xdr:xfrm>
      <a:graphic>
        <a:graphicData uri="http://schemas.openxmlformats.org/drawingml/2006/chart">
          <c:chart xmlns:c="http://schemas.openxmlformats.org/drawingml/2006/chart" r:id="rId2"/>
        </a:graphicData>
      </a:graphic>
    </xdr:graphicFrame>
    <xdr:clientData/>
  </xdr:twoCellAnchor>
  <xdr:twoCellAnchor>
    <xdr:from>
      <xdr:col>0</xdr:col>
      <xdr:colOff>361950</xdr:colOff>
      <xdr:row>0</xdr:row>
      <xdr:rowOff>66675</xdr:rowOff>
    </xdr:from>
    <xdr:to>
      <xdr:col>6</xdr:col>
      <xdr:colOff>1381125</xdr:colOff>
      <xdr:row>0</xdr:row>
      <xdr:rowOff>533400</xdr:rowOff>
    </xdr:to>
    <xdr:sp>
      <xdr:nvSpPr>
        <xdr:cNvPr id="6" name="Testo 1"/>
        <xdr:cNvSpPr>
          <a:spLocks/>
        </xdr:cNvSpPr>
      </xdr:nvSpPr>
      <xdr:spPr>
        <a:xfrm>
          <a:off x="361950" y="66675"/>
          <a:ext cx="9801225" cy="466725"/>
        </a:xfrm>
        <a:prstGeom prst="roundRect">
          <a:avLst/>
        </a:prstGeom>
        <a:solidFill>
          <a:srgbClr val="C0C0C0"/>
        </a:solidFill>
        <a:ln w="9525" cmpd="sng">
          <a:solidFill>
            <a:srgbClr val="000000"/>
          </a:solidFill>
          <a:headEnd type="none"/>
          <a:tailEnd type="none"/>
        </a:ln>
      </xdr:spPr>
      <xdr:txBody>
        <a:bodyPr vertOverflow="clip" wrap="square" lIns="45720" tIns="36576" rIns="45720" bIns="36576" anchor="ctr"/>
        <a:p>
          <a:pPr algn="ctr">
            <a:defRPr/>
          </a:pPr>
          <a:r>
            <a:rPr lang="en-US" cap="none" sz="1800" b="1" i="0" u="none" baseline="0">
              <a:solidFill>
                <a:srgbClr val="000000"/>
              </a:solidFill>
            </a:rPr>
            <a:t>Scheda Informativa 1: INFORMAZIONI  DI CARATTERE GENERALE</a:t>
          </a:r>
        </a:p>
      </xdr:txBody>
    </xdr:sp>
    <xdr:clientData/>
  </xdr:twoCellAnchor>
  <xdr:twoCellAnchor>
    <xdr:from>
      <xdr:col>3</xdr:col>
      <xdr:colOff>609600</xdr:colOff>
      <xdr:row>37</xdr:row>
      <xdr:rowOff>0</xdr:rowOff>
    </xdr:from>
    <xdr:to>
      <xdr:col>3</xdr:col>
      <xdr:colOff>609600</xdr:colOff>
      <xdr:row>37</xdr:row>
      <xdr:rowOff>0</xdr:rowOff>
    </xdr:to>
    <xdr:sp>
      <xdr:nvSpPr>
        <xdr:cNvPr id="7" name="Line 8"/>
        <xdr:cNvSpPr>
          <a:spLocks/>
        </xdr:cNvSpPr>
      </xdr:nvSpPr>
      <xdr:spPr>
        <a:xfrm>
          <a:off x="4238625" y="8401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685800</xdr:colOff>
      <xdr:row>37</xdr:row>
      <xdr:rowOff>0</xdr:rowOff>
    </xdr:from>
    <xdr:to>
      <xdr:col>5</xdr:col>
      <xdr:colOff>685800</xdr:colOff>
      <xdr:row>37</xdr:row>
      <xdr:rowOff>0</xdr:rowOff>
    </xdr:to>
    <xdr:sp>
      <xdr:nvSpPr>
        <xdr:cNvPr id="8" name="Line 9"/>
        <xdr:cNvSpPr>
          <a:spLocks/>
        </xdr:cNvSpPr>
      </xdr:nvSpPr>
      <xdr:spPr>
        <a:xfrm>
          <a:off x="7810500" y="8401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3</xdr:col>
      <xdr:colOff>609600</xdr:colOff>
      <xdr:row>31</xdr:row>
      <xdr:rowOff>0</xdr:rowOff>
    </xdr:from>
    <xdr:to>
      <xdr:col>3</xdr:col>
      <xdr:colOff>609600</xdr:colOff>
      <xdr:row>31</xdr:row>
      <xdr:rowOff>0</xdr:rowOff>
    </xdr:to>
    <xdr:sp>
      <xdr:nvSpPr>
        <xdr:cNvPr id="9" name="Line 8"/>
        <xdr:cNvSpPr>
          <a:spLocks/>
        </xdr:cNvSpPr>
      </xdr:nvSpPr>
      <xdr:spPr>
        <a:xfrm>
          <a:off x="4238625" y="7134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685800</xdr:colOff>
      <xdr:row>31</xdr:row>
      <xdr:rowOff>0</xdr:rowOff>
    </xdr:from>
    <xdr:to>
      <xdr:col>5</xdr:col>
      <xdr:colOff>685800</xdr:colOff>
      <xdr:row>31</xdr:row>
      <xdr:rowOff>0</xdr:rowOff>
    </xdr:to>
    <xdr:sp>
      <xdr:nvSpPr>
        <xdr:cNvPr id="10" name="Line 9"/>
        <xdr:cNvSpPr>
          <a:spLocks/>
        </xdr:cNvSpPr>
      </xdr:nvSpPr>
      <xdr:spPr>
        <a:xfrm>
          <a:off x="7810500" y="7134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47625</xdr:rowOff>
    </xdr:from>
    <xdr:to>
      <xdr:col>11</xdr:col>
      <xdr:colOff>238125</xdr:colOff>
      <xdr:row>1</xdr:row>
      <xdr:rowOff>295275</xdr:rowOff>
    </xdr:to>
    <xdr:sp>
      <xdr:nvSpPr>
        <xdr:cNvPr id="1" name="Testo 13"/>
        <xdr:cNvSpPr txBox="1">
          <a:spLocks noChangeArrowheads="1"/>
        </xdr:cNvSpPr>
      </xdr:nvSpPr>
      <xdr:spPr>
        <a:xfrm>
          <a:off x="0" y="600075"/>
          <a:ext cx="7267575" cy="247650"/>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7</a:t>
          </a: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Personale a tempo indeterminato e personale dirigente distribuito per classi di anzianità di servizio al 31 dicembre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28575</xdr:rowOff>
    </xdr:from>
    <xdr:to>
      <xdr:col>12</xdr:col>
      <xdr:colOff>38100</xdr:colOff>
      <xdr:row>1</xdr:row>
      <xdr:rowOff>266700</xdr:rowOff>
    </xdr:to>
    <xdr:sp>
      <xdr:nvSpPr>
        <xdr:cNvPr id="1" name="Testo 13"/>
        <xdr:cNvSpPr txBox="1">
          <a:spLocks noChangeArrowheads="1"/>
        </xdr:cNvSpPr>
      </xdr:nvSpPr>
      <xdr:spPr>
        <a:xfrm>
          <a:off x="0" y="581025"/>
          <a:ext cx="7600950" cy="23812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8</a:t>
          </a: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Personale a tempo indeterminato e personale dirigente distribuito per classi di età al 31 dicembre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38100</xdr:rowOff>
    </xdr:from>
    <xdr:to>
      <xdr:col>7</xdr:col>
      <xdr:colOff>733425</xdr:colOff>
      <xdr:row>2</xdr:row>
      <xdr:rowOff>295275</xdr:rowOff>
    </xdr:to>
    <xdr:sp>
      <xdr:nvSpPr>
        <xdr:cNvPr id="1" name="Testo 2"/>
        <xdr:cNvSpPr txBox="1">
          <a:spLocks noChangeArrowheads="1"/>
        </xdr:cNvSpPr>
      </xdr:nvSpPr>
      <xdr:spPr>
        <a:xfrm>
          <a:off x="0" y="657225"/>
          <a:ext cx="7524750"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9 - </a:t>
          </a:r>
          <a:r>
            <a:rPr lang="en-US" cap="none" sz="900" b="0" i="0" u="none" baseline="0">
              <a:solidFill>
                <a:srgbClr val="000000"/>
              </a:solidFill>
              <a:latin typeface="Arial"/>
              <a:ea typeface="Arial"/>
              <a:cs typeface="Arial"/>
            </a:rPr>
            <a:t>Personale dipendente a tempo indeterminato e personale dirigente distribuito per titolo di studio posseduto al 31 dicembre</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38100</xdr:rowOff>
    </xdr:from>
    <xdr:to>
      <xdr:col>14</xdr:col>
      <xdr:colOff>0</xdr:colOff>
      <xdr:row>1</xdr:row>
      <xdr:rowOff>295275</xdr:rowOff>
    </xdr:to>
    <xdr:sp>
      <xdr:nvSpPr>
        <xdr:cNvPr id="1" name="Testo 9"/>
        <xdr:cNvSpPr txBox="1">
          <a:spLocks noChangeArrowheads="1"/>
        </xdr:cNvSpPr>
      </xdr:nvSpPr>
      <xdr:spPr>
        <a:xfrm>
          <a:off x="2619375" y="590550"/>
          <a:ext cx="5372100" cy="257175"/>
        </a:xfrm>
        <a:prstGeom prst="rect">
          <a:avLst/>
        </a:prstGeom>
        <a:solidFill>
          <a:srgbClr val="FFFFFF"/>
        </a:solidFill>
        <a:ln w="1" cmpd="sng">
          <a:solidFill>
            <a:srgbClr val="000000"/>
          </a:solidFill>
          <a:headEnd type="none"/>
          <a:tailEnd type="none"/>
        </a:ln>
      </xdr:spPr>
      <xdr:txBody>
        <a:bodyPr vertOverflow="clip" wrap="square" lIns="36576" tIns="27432" rIns="0" bIns="27432" anchor="ctr"/>
        <a:p>
          <a:pPr algn="l">
            <a:defRPr/>
          </a:pPr>
          <a:r>
            <a:rPr lang="en-US" cap="none" sz="1200" b="1" i="0" u="none" baseline="0">
              <a:solidFill>
                <a:srgbClr val="000000"/>
              </a:solidFill>
              <a:latin typeface="Arial"/>
              <a:ea typeface="Arial"/>
              <a:cs typeface="Arial"/>
            </a:rPr>
            <a:t>Tabella 10</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Personale  in servizio al 31 dicembre  distribuito per Regioni e all'estero.</a:t>
          </a:r>
        </a:p>
      </xdr:txBody>
    </xdr:sp>
    <xdr:clientData/>
  </xdr:twoCellAnchor>
  <xdr:twoCellAnchor>
    <xdr:from>
      <xdr:col>26</xdr:col>
      <xdr:colOff>0</xdr:colOff>
      <xdr:row>1</xdr:row>
      <xdr:rowOff>38100</xdr:rowOff>
    </xdr:from>
    <xdr:to>
      <xdr:col>37</xdr:col>
      <xdr:colOff>38100</xdr:colOff>
      <xdr:row>1</xdr:row>
      <xdr:rowOff>295275</xdr:rowOff>
    </xdr:to>
    <xdr:sp>
      <xdr:nvSpPr>
        <xdr:cNvPr id="2" name="Testo 9"/>
        <xdr:cNvSpPr txBox="1">
          <a:spLocks noChangeArrowheads="1"/>
        </xdr:cNvSpPr>
      </xdr:nvSpPr>
      <xdr:spPr>
        <a:xfrm>
          <a:off x="13363575" y="590550"/>
          <a:ext cx="5381625" cy="257175"/>
        </a:xfrm>
        <a:prstGeom prst="rect">
          <a:avLst/>
        </a:prstGeom>
        <a:solidFill>
          <a:srgbClr val="FFFFFF"/>
        </a:solidFill>
        <a:ln w="1" cmpd="sng">
          <a:solidFill>
            <a:srgbClr val="000000"/>
          </a:solidFill>
          <a:headEnd type="none"/>
          <a:tailEnd type="none"/>
        </a:ln>
      </xdr:spPr>
      <xdr:txBody>
        <a:bodyPr vertOverflow="clip" wrap="square" lIns="36576" tIns="27432" rIns="0" bIns="27432" anchor="ctr"/>
        <a:p>
          <a:pPr algn="l">
            <a:defRPr/>
          </a:pPr>
          <a:r>
            <a:rPr lang="en-US" cap="none" sz="1200" b="1" i="0" u="none" baseline="0">
              <a:solidFill>
                <a:srgbClr val="000000"/>
              </a:solidFill>
              <a:latin typeface="Arial"/>
              <a:ea typeface="Arial"/>
              <a:cs typeface="Arial"/>
            </a:rPr>
            <a:t>Tabella 10</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Personale  in servizio al 31 dicembre  distribuito per Regioni e all'estero.</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28575</xdr:rowOff>
    </xdr:from>
    <xdr:to>
      <xdr:col>35</xdr:col>
      <xdr:colOff>571500</xdr:colOff>
      <xdr:row>1</xdr:row>
      <xdr:rowOff>285750</xdr:rowOff>
    </xdr:to>
    <xdr:sp>
      <xdr:nvSpPr>
        <xdr:cNvPr id="1" name="Testo 3"/>
        <xdr:cNvSpPr txBox="1">
          <a:spLocks noChangeArrowheads="1"/>
        </xdr:cNvSpPr>
      </xdr:nvSpPr>
      <xdr:spPr>
        <a:xfrm>
          <a:off x="0" y="581025"/>
          <a:ext cx="5238750"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11</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Numero giorni di assenza del personale in servizio nel corso dell'anno</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38100</xdr:rowOff>
    </xdr:from>
    <xdr:to>
      <xdr:col>31</xdr:col>
      <xdr:colOff>0</xdr:colOff>
      <xdr:row>1</xdr:row>
      <xdr:rowOff>276225</xdr:rowOff>
    </xdr:to>
    <xdr:sp>
      <xdr:nvSpPr>
        <xdr:cNvPr id="1" name="Testo 3"/>
        <xdr:cNvSpPr txBox="1">
          <a:spLocks noChangeArrowheads="1"/>
        </xdr:cNvSpPr>
      </xdr:nvSpPr>
      <xdr:spPr>
        <a:xfrm>
          <a:off x="0" y="457200"/>
          <a:ext cx="7486650" cy="23812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12 </a:t>
          </a:r>
          <a:r>
            <a:rPr lang="en-US" cap="none" sz="1200" b="0" i="0" u="none" baseline="0">
              <a:solidFill>
                <a:srgbClr val="000000"/>
              </a:solidFill>
              <a:latin typeface="Arial"/>
              <a:ea typeface="Arial"/>
              <a:cs typeface="Arial"/>
            </a:rPr>
            <a:t>-</a:t>
          </a:r>
          <a:r>
            <a:rPr lang="en-US" cap="none" sz="12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oneri annui  per voci retributive a carattere "stipendiale" corrisposte al personale  in servizio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47625</xdr:rowOff>
    </xdr:from>
    <xdr:to>
      <xdr:col>32</xdr:col>
      <xdr:colOff>276225</xdr:colOff>
      <xdr:row>1</xdr:row>
      <xdr:rowOff>276225</xdr:rowOff>
    </xdr:to>
    <xdr:sp>
      <xdr:nvSpPr>
        <xdr:cNvPr id="1" name="Testo 3"/>
        <xdr:cNvSpPr txBox="1">
          <a:spLocks noChangeArrowheads="1"/>
        </xdr:cNvSpPr>
      </xdr:nvSpPr>
      <xdr:spPr>
        <a:xfrm>
          <a:off x="0" y="504825"/>
          <a:ext cx="7038975" cy="228600"/>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13 </a:t>
          </a:r>
          <a:r>
            <a:rPr lang="en-US" cap="none" sz="1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oneri annui per indennità e compensi accessori corrisposti  al personale  in servizio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38100</xdr:rowOff>
    </xdr:from>
    <xdr:to>
      <xdr:col>0</xdr:col>
      <xdr:colOff>4657725</xdr:colOff>
      <xdr:row>1</xdr:row>
      <xdr:rowOff>266700</xdr:rowOff>
    </xdr:to>
    <xdr:sp>
      <xdr:nvSpPr>
        <xdr:cNvPr id="1" name="Testo 4"/>
        <xdr:cNvSpPr txBox="1">
          <a:spLocks noChangeArrowheads="1"/>
        </xdr:cNvSpPr>
      </xdr:nvSpPr>
      <xdr:spPr>
        <a:xfrm>
          <a:off x="0" y="590550"/>
          <a:ext cx="4657725" cy="228600"/>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14</a:t>
          </a:r>
          <a:r>
            <a:rPr lang="en-US" cap="none" sz="800" b="0" i="0" u="none" baseline="0">
              <a:solidFill>
                <a:srgbClr val="000000"/>
              </a:solidFill>
              <a:latin typeface="Arial"/>
              <a:ea typeface="Arial"/>
              <a:cs typeface="Arial"/>
            </a:rPr>
            <a:t> -  </a:t>
          </a:r>
          <a:r>
            <a:rPr lang="en-US" cap="none" sz="1000" b="0" i="0" u="none" baseline="0">
              <a:solidFill>
                <a:srgbClr val="000000"/>
              </a:solidFill>
              <a:latin typeface="Arial"/>
              <a:ea typeface="Arial"/>
              <a:cs typeface="Arial"/>
            </a:rPr>
            <a:t>Altri oneri che concorrono a formare il costo del lavoro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19050</xdr:rowOff>
    </xdr:from>
    <xdr:to>
      <xdr:col>3</xdr:col>
      <xdr:colOff>0</xdr:colOff>
      <xdr:row>1</xdr:row>
      <xdr:rowOff>409575</xdr:rowOff>
    </xdr:to>
    <xdr:sp>
      <xdr:nvSpPr>
        <xdr:cNvPr id="1" name="Testo 3"/>
        <xdr:cNvSpPr txBox="1">
          <a:spLocks noChangeArrowheads="1"/>
        </xdr:cNvSpPr>
      </xdr:nvSpPr>
      <xdr:spPr>
        <a:xfrm>
          <a:off x="0" y="571500"/>
          <a:ext cx="5886450" cy="400050"/>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15</a:t>
          </a:r>
          <a:r>
            <a:rPr lang="en-US" cap="none" sz="1000" b="1" i="0" u="none" baseline="0">
              <a:solidFill>
                <a:srgbClr val="000000"/>
              </a:solidFill>
              <a:latin typeface="Arial"/>
              <a:ea typeface="Arial"/>
              <a:cs typeface="Arial"/>
            </a:rPr>
            <a:t> - </a:t>
          </a:r>
          <a:r>
            <a:rPr lang="en-US" cap="none" sz="1000" b="0" i="0" u="none" baseline="0">
              <a:solidFill>
                <a:srgbClr val="000000"/>
              </a:solidFill>
              <a:latin typeface="Arial"/>
              <a:ea typeface="Arial"/>
              <a:cs typeface="Arial"/>
            </a:rPr>
            <a:t>FONDI PER IL</a:t>
          </a:r>
          <a:r>
            <a:rPr lang="en-US" cap="none" sz="1000" b="0" i="0" u="none" baseline="0">
              <a:solidFill>
                <a:srgbClr val="000000"/>
              </a:solidFill>
              <a:latin typeface="Arial"/>
              <a:ea typeface="Arial"/>
              <a:cs typeface="Arial"/>
            </a:rPr>
            <a:t> TRATTAMENTO ACCESSORIO</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MACROCATEGORIA:     DIRIGENTI DI 1^ FASCIA</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19050</xdr:rowOff>
    </xdr:from>
    <xdr:to>
      <xdr:col>3</xdr:col>
      <xdr:colOff>0</xdr:colOff>
      <xdr:row>1</xdr:row>
      <xdr:rowOff>419100</xdr:rowOff>
    </xdr:to>
    <xdr:sp>
      <xdr:nvSpPr>
        <xdr:cNvPr id="1" name="Testo 3"/>
        <xdr:cNvSpPr txBox="1">
          <a:spLocks noChangeArrowheads="1"/>
        </xdr:cNvSpPr>
      </xdr:nvSpPr>
      <xdr:spPr>
        <a:xfrm>
          <a:off x="0" y="571500"/>
          <a:ext cx="5886450" cy="400050"/>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15</a:t>
          </a:r>
          <a:r>
            <a:rPr lang="en-US" cap="none" sz="1000" b="1" i="0" u="none" baseline="0">
              <a:solidFill>
                <a:srgbClr val="000000"/>
              </a:solidFill>
              <a:latin typeface="Arial"/>
              <a:ea typeface="Arial"/>
              <a:cs typeface="Arial"/>
            </a:rPr>
            <a:t> - </a:t>
          </a:r>
          <a:r>
            <a:rPr lang="en-US" cap="none" sz="1000" b="0" i="0" u="none" baseline="0">
              <a:solidFill>
                <a:srgbClr val="000000"/>
              </a:solidFill>
              <a:latin typeface="Arial"/>
              <a:ea typeface="Arial"/>
              <a:cs typeface="Arial"/>
            </a:rPr>
            <a:t>FONDI PER IL</a:t>
          </a:r>
          <a:r>
            <a:rPr lang="en-US" cap="none" sz="1000" b="0" i="0" u="none" baseline="0">
              <a:solidFill>
                <a:srgbClr val="000000"/>
              </a:solidFill>
              <a:latin typeface="Arial"/>
              <a:ea typeface="Arial"/>
              <a:cs typeface="Arial"/>
            </a:rPr>
            <a:t> TRATTAMENTO ACCESSORIO</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MACROCATEGORIA:     DIRIGENTI DI 2^ FASCIA</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104775</xdr:rowOff>
    </xdr:from>
    <xdr:to>
      <xdr:col>5</xdr:col>
      <xdr:colOff>495300</xdr:colOff>
      <xdr:row>0</xdr:row>
      <xdr:rowOff>428625</xdr:rowOff>
    </xdr:to>
    <xdr:sp>
      <xdr:nvSpPr>
        <xdr:cNvPr id="1" name="Testo 1"/>
        <xdr:cNvSpPr>
          <a:spLocks/>
        </xdr:cNvSpPr>
      </xdr:nvSpPr>
      <xdr:spPr>
        <a:xfrm>
          <a:off x="400050" y="104775"/>
          <a:ext cx="6772275" cy="323850"/>
        </a:xfrm>
        <a:prstGeom prst="roundRect">
          <a:avLst/>
        </a:prstGeom>
        <a:solidFill>
          <a:srgbClr val="C0C0C0"/>
        </a:solidFill>
        <a:ln w="9525" cmpd="sng">
          <a:solidFill>
            <a:srgbClr val="000000"/>
          </a:solidFill>
          <a:headEnd type="none"/>
          <a:tailEnd type="none"/>
        </a:ln>
      </xdr:spPr>
      <xdr:txBody>
        <a:bodyPr vertOverflow="clip" wrap="square" lIns="45720" tIns="36576" rIns="45720" bIns="36576" anchor="ctr"/>
        <a:p>
          <a:pPr algn="ctr">
            <a:defRPr/>
          </a:pPr>
          <a:r>
            <a:rPr lang="en-US" cap="none" sz="1600" b="1" i="0" u="none" baseline="0">
              <a:solidFill>
                <a:srgbClr val="000000"/>
              </a:solidFill>
            </a:rPr>
            <a:t>SCHEDA INFORMATIVA 1 : APPENDICE GESTIONE DATI CO.CO.CO.
</a:t>
          </a:r>
          <a:r>
            <a:rPr lang="en-US" cap="none" sz="1800" b="1" i="0" u="none" baseline="0">
              <a:solidFill>
                <a:srgbClr val="000000"/>
              </a:solidFill>
            </a:rPr>
            <a:t>
</a:t>
          </a:r>
        </a:p>
      </xdr:txBody>
    </xdr:sp>
    <xdr:clientData/>
  </xdr:twoCellAnchor>
  <xdr:twoCellAnchor>
    <xdr:from>
      <xdr:col>6</xdr:col>
      <xdr:colOff>0</xdr:colOff>
      <xdr:row>3</xdr:row>
      <xdr:rowOff>0</xdr:rowOff>
    </xdr:from>
    <xdr:to>
      <xdr:col>6</xdr:col>
      <xdr:colOff>0</xdr:colOff>
      <xdr:row>3</xdr:row>
      <xdr:rowOff>0</xdr:rowOff>
    </xdr:to>
    <xdr:sp fLocksText="0">
      <xdr:nvSpPr>
        <xdr:cNvPr id="2" name="Text Box 5"/>
        <xdr:cNvSpPr txBox="1">
          <a:spLocks noChangeArrowheads="1"/>
        </xdr:cNvSpPr>
      </xdr:nvSpPr>
      <xdr:spPr>
        <a:xfrm>
          <a:off x="8001000" y="1724025"/>
          <a:ext cx="0" cy="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fLocksWithSheet="0"/>
  </xdr:twoCellAnchor>
  <xdr:twoCellAnchor>
    <xdr:from>
      <xdr:col>6</xdr:col>
      <xdr:colOff>0</xdr:colOff>
      <xdr:row>3</xdr:row>
      <xdr:rowOff>0</xdr:rowOff>
    </xdr:from>
    <xdr:to>
      <xdr:col>6</xdr:col>
      <xdr:colOff>0</xdr:colOff>
      <xdr:row>3</xdr:row>
      <xdr:rowOff>0</xdr:rowOff>
    </xdr:to>
    <xdr:sp fLocksText="0">
      <xdr:nvSpPr>
        <xdr:cNvPr id="3" name="Text Box 7"/>
        <xdr:cNvSpPr txBox="1">
          <a:spLocks noChangeArrowheads="1"/>
        </xdr:cNvSpPr>
      </xdr:nvSpPr>
      <xdr:spPr>
        <a:xfrm>
          <a:off x="8001000" y="1724025"/>
          <a:ext cx="0" cy="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fLocksWithSheet="0"/>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19050</xdr:rowOff>
    </xdr:from>
    <xdr:to>
      <xdr:col>3</xdr:col>
      <xdr:colOff>0</xdr:colOff>
      <xdr:row>1</xdr:row>
      <xdr:rowOff>419100</xdr:rowOff>
    </xdr:to>
    <xdr:sp>
      <xdr:nvSpPr>
        <xdr:cNvPr id="1" name="Testo 3"/>
        <xdr:cNvSpPr txBox="1">
          <a:spLocks noChangeArrowheads="1"/>
        </xdr:cNvSpPr>
      </xdr:nvSpPr>
      <xdr:spPr>
        <a:xfrm>
          <a:off x="0" y="571500"/>
          <a:ext cx="5886450" cy="400050"/>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15</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FONDI PER IL</a:t>
          </a:r>
          <a:r>
            <a:rPr lang="en-US" cap="none" sz="1000" b="0" i="0" u="none" baseline="0">
              <a:solidFill>
                <a:srgbClr val="000000"/>
              </a:solidFill>
              <a:latin typeface="Arial"/>
              <a:ea typeface="Arial"/>
              <a:cs typeface="Arial"/>
            </a:rPr>
            <a:t> TRATTAMENTO ACCESSORIO</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MACROCATEGORIA:      PERSONALE</a:t>
          </a:r>
          <a:r>
            <a:rPr lang="en-US" cap="none" sz="1000" b="1" i="0" u="none" baseline="0">
              <a:solidFill>
                <a:srgbClr val="000000"/>
              </a:solidFill>
              <a:latin typeface="Arial"/>
              <a:ea typeface="Arial"/>
              <a:cs typeface="Arial"/>
            </a:rPr>
            <a:t> NON DIRIGENTE</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38100</xdr:rowOff>
    </xdr:from>
    <xdr:to>
      <xdr:col>0</xdr:col>
      <xdr:colOff>4657725</xdr:colOff>
      <xdr:row>1</xdr:row>
      <xdr:rowOff>266700</xdr:rowOff>
    </xdr:to>
    <xdr:sp>
      <xdr:nvSpPr>
        <xdr:cNvPr id="1" name="Testo 4"/>
        <xdr:cNvSpPr txBox="1">
          <a:spLocks noChangeArrowheads="1"/>
        </xdr:cNvSpPr>
      </xdr:nvSpPr>
      <xdr:spPr>
        <a:xfrm>
          <a:off x="0" y="590550"/>
          <a:ext cx="4657725" cy="228600"/>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rPr>
            <a:t>TABELLA RICONCILIAZIONE</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0</xdr:row>
      <xdr:rowOff>0</xdr:rowOff>
    </xdr:from>
    <xdr:to>
      <xdr:col>10</xdr:col>
      <xdr:colOff>0</xdr:colOff>
      <xdr:row>0</xdr:row>
      <xdr:rowOff>0</xdr:rowOff>
    </xdr:to>
    <xdr:sp>
      <xdr:nvSpPr>
        <xdr:cNvPr id="1" name="Testo 4"/>
        <xdr:cNvSpPr txBox="1">
          <a:spLocks noChangeArrowheads="1"/>
        </xdr:cNvSpPr>
      </xdr:nvSpPr>
      <xdr:spPr>
        <a:xfrm>
          <a:off x="8924925" y="0"/>
          <a:ext cx="0" cy="0"/>
        </a:xfrm>
        <a:prstGeom prst="rect">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Anno 2004</a:t>
          </a:r>
        </a:p>
      </xdr:txBody>
    </xdr:sp>
    <xdr:clientData/>
  </xdr:twoCellAnchor>
  <xdr:twoCellAnchor>
    <xdr:from>
      <xdr:col>10</xdr:col>
      <xdr:colOff>0</xdr:colOff>
      <xdr:row>0</xdr:row>
      <xdr:rowOff>0</xdr:rowOff>
    </xdr:from>
    <xdr:to>
      <xdr:col>10</xdr:col>
      <xdr:colOff>0</xdr:colOff>
      <xdr:row>0</xdr:row>
      <xdr:rowOff>0</xdr:rowOff>
    </xdr:to>
    <xdr:sp>
      <xdr:nvSpPr>
        <xdr:cNvPr id="2" name="Testo 2"/>
        <xdr:cNvSpPr>
          <a:spLocks/>
        </xdr:cNvSpPr>
      </xdr:nvSpPr>
      <xdr:spPr>
        <a:xfrm>
          <a:off x="8924925" y="0"/>
          <a:ext cx="0" cy="0"/>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1" i="0" u="none" baseline="0">
              <a:solidFill>
                <a:srgbClr val="000000"/>
              </a:solidFill>
            </a:rPr>
            <a:t>ISTITUZIONE......................................</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0</xdr:row>
      <xdr:rowOff>0</xdr:rowOff>
    </xdr:from>
    <xdr:to>
      <xdr:col>17</xdr:col>
      <xdr:colOff>0</xdr:colOff>
      <xdr:row>0</xdr:row>
      <xdr:rowOff>0</xdr:rowOff>
    </xdr:to>
    <xdr:sp>
      <xdr:nvSpPr>
        <xdr:cNvPr id="1" name="Testo 4"/>
        <xdr:cNvSpPr txBox="1">
          <a:spLocks noChangeArrowheads="1"/>
        </xdr:cNvSpPr>
      </xdr:nvSpPr>
      <xdr:spPr>
        <a:xfrm>
          <a:off x="13658850" y="0"/>
          <a:ext cx="0" cy="0"/>
        </a:xfrm>
        <a:prstGeom prst="rect">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Anno 2004</a:t>
          </a:r>
        </a:p>
      </xdr:txBody>
    </xdr:sp>
    <xdr:clientData/>
  </xdr:twoCellAnchor>
  <xdr:twoCellAnchor>
    <xdr:from>
      <xdr:col>17</xdr:col>
      <xdr:colOff>0</xdr:colOff>
      <xdr:row>0</xdr:row>
      <xdr:rowOff>0</xdr:rowOff>
    </xdr:from>
    <xdr:to>
      <xdr:col>17</xdr:col>
      <xdr:colOff>0</xdr:colOff>
      <xdr:row>0</xdr:row>
      <xdr:rowOff>0</xdr:rowOff>
    </xdr:to>
    <xdr:sp>
      <xdr:nvSpPr>
        <xdr:cNvPr id="2" name="Testo 2"/>
        <xdr:cNvSpPr>
          <a:spLocks/>
        </xdr:cNvSpPr>
      </xdr:nvSpPr>
      <xdr:spPr>
        <a:xfrm>
          <a:off x="13658850" y="0"/>
          <a:ext cx="0" cy="0"/>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1" i="0" u="none" baseline="0">
              <a:solidFill>
                <a:srgbClr val="000000"/>
              </a:solidFill>
            </a:rPr>
            <a:t>ISTITUZIONE......................................</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sp>
      <xdr:nvSpPr>
        <xdr:cNvPr id="1" name="Testo 4"/>
        <xdr:cNvSpPr txBox="1">
          <a:spLocks noChangeArrowheads="1"/>
        </xdr:cNvSpPr>
      </xdr:nvSpPr>
      <xdr:spPr>
        <a:xfrm>
          <a:off x="7458075" y="0"/>
          <a:ext cx="0" cy="0"/>
        </a:xfrm>
        <a:prstGeom prst="rect">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Anno 2004</a:t>
          </a:r>
        </a:p>
      </xdr:txBody>
    </xdr:sp>
    <xdr:clientData/>
  </xdr:twoCellAnchor>
  <xdr:twoCellAnchor>
    <xdr:from>
      <xdr:col>7</xdr:col>
      <xdr:colOff>0</xdr:colOff>
      <xdr:row>0</xdr:row>
      <xdr:rowOff>0</xdr:rowOff>
    </xdr:from>
    <xdr:to>
      <xdr:col>7</xdr:col>
      <xdr:colOff>0</xdr:colOff>
      <xdr:row>0</xdr:row>
      <xdr:rowOff>0</xdr:rowOff>
    </xdr:to>
    <xdr:sp>
      <xdr:nvSpPr>
        <xdr:cNvPr id="2" name="Testo 2"/>
        <xdr:cNvSpPr>
          <a:spLocks/>
        </xdr:cNvSpPr>
      </xdr:nvSpPr>
      <xdr:spPr>
        <a:xfrm>
          <a:off x="7458075" y="0"/>
          <a:ext cx="0" cy="0"/>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1" i="0" u="none" baseline="0">
              <a:solidFill>
                <a:srgbClr val="000000"/>
              </a:solidFill>
            </a:rPr>
            <a:t>ISTITUZIONE......................................</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4</xdr:col>
      <xdr:colOff>0</xdr:colOff>
      <xdr:row>0</xdr:row>
      <xdr:rowOff>0</xdr:rowOff>
    </xdr:to>
    <xdr:sp>
      <xdr:nvSpPr>
        <xdr:cNvPr id="1" name="Testo 4"/>
        <xdr:cNvSpPr txBox="1">
          <a:spLocks noChangeArrowheads="1"/>
        </xdr:cNvSpPr>
      </xdr:nvSpPr>
      <xdr:spPr>
        <a:xfrm>
          <a:off x="7105650" y="0"/>
          <a:ext cx="0" cy="0"/>
        </a:xfrm>
        <a:prstGeom prst="rect">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Anno 2004
</a:t>
          </a:r>
        </a:p>
      </xdr:txBody>
    </xdr:sp>
    <xdr:clientData/>
  </xdr:twoCellAnchor>
  <xdr:twoCellAnchor>
    <xdr:from>
      <xdr:col>4</xdr:col>
      <xdr:colOff>0</xdr:colOff>
      <xdr:row>0</xdr:row>
      <xdr:rowOff>0</xdr:rowOff>
    </xdr:from>
    <xdr:to>
      <xdr:col>4</xdr:col>
      <xdr:colOff>0</xdr:colOff>
      <xdr:row>0</xdr:row>
      <xdr:rowOff>0</xdr:rowOff>
    </xdr:to>
    <xdr:sp>
      <xdr:nvSpPr>
        <xdr:cNvPr id="2" name="Testo 2"/>
        <xdr:cNvSpPr>
          <a:spLocks/>
        </xdr:cNvSpPr>
      </xdr:nvSpPr>
      <xdr:spPr>
        <a:xfrm>
          <a:off x="7105650" y="0"/>
          <a:ext cx="0" cy="0"/>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1" i="0" u="none" baseline="0">
              <a:solidFill>
                <a:srgbClr val="000000"/>
              </a:solidFill>
            </a:rPr>
            <a:t>ISTITUZIONE......................................</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4</xdr:col>
      <xdr:colOff>0</xdr:colOff>
      <xdr:row>0</xdr:row>
      <xdr:rowOff>0</xdr:rowOff>
    </xdr:to>
    <xdr:sp>
      <xdr:nvSpPr>
        <xdr:cNvPr id="1" name="Testo 4"/>
        <xdr:cNvSpPr txBox="1">
          <a:spLocks noChangeArrowheads="1"/>
        </xdr:cNvSpPr>
      </xdr:nvSpPr>
      <xdr:spPr>
        <a:xfrm>
          <a:off x="8305800" y="0"/>
          <a:ext cx="0" cy="0"/>
        </a:xfrm>
        <a:prstGeom prst="rect">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Anno 2004
</a:t>
          </a:r>
        </a:p>
      </xdr:txBody>
    </xdr:sp>
    <xdr:clientData/>
  </xdr:twoCellAnchor>
  <xdr:twoCellAnchor>
    <xdr:from>
      <xdr:col>4</xdr:col>
      <xdr:colOff>0</xdr:colOff>
      <xdr:row>0</xdr:row>
      <xdr:rowOff>0</xdr:rowOff>
    </xdr:from>
    <xdr:to>
      <xdr:col>4</xdr:col>
      <xdr:colOff>0</xdr:colOff>
      <xdr:row>0</xdr:row>
      <xdr:rowOff>0</xdr:rowOff>
    </xdr:to>
    <xdr:sp>
      <xdr:nvSpPr>
        <xdr:cNvPr id="2" name="Testo 2"/>
        <xdr:cNvSpPr>
          <a:spLocks/>
        </xdr:cNvSpPr>
      </xdr:nvSpPr>
      <xdr:spPr>
        <a:xfrm>
          <a:off x="8305800" y="0"/>
          <a:ext cx="0" cy="0"/>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1" i="0" u="none" baseline="0">
              <a:solidFill>
                <a:srgbClr val="000000"/>
              </a:solidFill>
            </a:rPr>
            <a:t>ISTITUZIONE......................................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28575</xdr:rowOff>
    </xdr:from>
    <xdr:to>
      <xdr:col>29</xdr:col>
      <xdr:colOff>523875</xdr:colOff>
      <xdr:row>1</xdr:row>
      <xdr:rowOff>276225</xdr:rowOff>
    </xdr:to>
    <xdr:sp>
      <xdr:nvSpPr>
        <xdr:cNvPr id="1" name="Testo 9"/>
        <xdr:cNvSpPr txBox="1">
          <a:spLocks noChangeArrowheads="1"/>
        </xdr:cNvSpPr>
      </xdr:nvSpPr>
      <xdr:spPr>
        <a:xfrm>
          <a:off x="9525" y="342900"/>
          <a:ext cx="5705475" cy="247650"/>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100" b="1" i="0" u="none" baseline="0">
              <a:solidFill>
                <a:srgbClr val="000000"/>
              </a:solidFill>
              <a:latin typeface="Arial"/>
              <a:ea typeface="Arial"/>
              <a:cs typeface="Arial"/>
            </a:rPr>
            <a:t>Tabella 1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Personale dipendente a tempo indeterminato e personale dirigente in servizio al 31 dicembre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38100</xdr:rowOff>
    </xdr:from>
    <xdr:to>
      <xdr:col>29</xdr:col>
      <xdr:colOff>619125</xdr:colOff>
      <xdr:row>1</xdr:row>
      <xdr:rowOff>295275</xdr:rowOff>
    </xdr:to>
    <xdr:sp>
      <xdr:nvSpPr>
        <xdr:cNvPr id="1" name="Testo 9"/>
        <xdr:cNvSpPr txBox="1">
          <a:spLocks noChangeArrowheads="1"/>
        </xdr:cNvSpPr>
      </xdr:nvSpPr>
      <xdr:spPr>
        <a:xfrm>
          <a:off x="0" y="590550"/>
          <a:ext cx="4419600"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2 </a:t>
          </a:r>
          <a:r>
            <a:rPr lang="en-US" cap="none" sz="800" b="0" i="0" u="none" baseline="0">
              <a:solidFill>
                <a:srgbClr val="000000"/>
              </a:solidFill>
              <a:latin typeface="Arial"/>
              <a:ea typeface="Arial"/>
              <a:cs typeface="Arial"/>
            </a:rPr>
            <a:t> -  </a:t>
          </a:r>
          <a:r>
            <a:rPr lang="en-US" cap="none" sz="1000" b="0" i="0" u="none" baseline="0">
              <a:solidFill>
                <a:srgbClr val="000000"/>
              </a:solidFill>
              <a:latin typeface="Arial"/>
              <a:ea typeface="Arial"/>
              <a:cs typeface="Arial"/>
            </a:rPr>
            <a:t>Personale con contratto o modalità di lavoro flessibile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161925</xdr:rowOff>
    </xdr:from>
    <xdr:to>
      <xdr:col>11</xdr:col>
      <xdr:colOff>0</xdr:colOff>
      <xdr:row>3</xdr:row>
      <xdr:rowOff>123825</xdr:rowOff>
    </xdr:to>
    <xdr:sp>
      <xdr:nvSpPr>
        <xdr:cNvPr id="1" name="Testo 9"/>
        <xdr:cNvSpPr txBox="1">
          <a:spLocks noChangeArrowheads="1"/>
        </xdr:cNvSpPr>
      </xdr:nvSpPr>
      <xdr:spPr>
        <a:xfrm>
          <a:off x="361950" y="581025"/>
          <a:ext cx="8610600"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2A</a:t>
          </a:r>
          <a:r>
            <a:rPr lang="en-US" cap="none" sz="800" b="0" i="0" u="none" baseline="0">
              <a:solidFill>
                <a:srgbClr val="000000"/>
              </a:solidFill>
              <a:latin typeface="Arial"/>
              <a:ea typeface="Arial"/>
              <a:cs typeface="Arial"/>
            </a:rPr>
            <a:t> - </a:t>
          </a:r>
          <a:r>
            <a:rPr lang="en-US" cap="none" sz="1000" b="0" i="0" u="none" baseline="0">
              <a:solidFill>
                <a:srgbClr val="000000"/>
              </a:solidFill>
              <a:latin typeface="Arial"/>
              <a:ea typeface="Arial"/>
              <a:cs typeface="Arial"/>
            </a:rPr>
            <a:t>Distribuzione del personale a tempo determinato e co.co.co. per anzianità di rapporto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38100</xdr:rowOff>
    </xdr:from>
    <xdr:to>
      <xdr:col>6</xdr:col>
      <xdr:colOff>9525</xdr:colOff>
      <xdr:row>1</xdr:row>
      <xdr:rowOff>295275</xdr:rowOff>
    </xdr:to>
    <xdr:sp>
      <xdr:nvSpPr>
        <xdr:cNvPr id="1" name="Testo 13"/>
        <xdr:cNvSpPr txBox="1">
          <a:spLocks noChangeArrowheads="1"/>
        </xdr:cNvSpPr>
      </xdr:nvSpPr>
      <xdr:spPr>
        <a:xfrm>
          <a:off x="9525" y="590550"/>
          <a:ext cx="5581650"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3</a:t>
          </a: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Personale in posizione di comando/distacco e fuori ruolo al 31 dicembre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38100</xdr:rowOff>
    </xdr:from>
    <xdr:to>
      <xdr:col>19</xdr:col>
      <xdr:colOff>0</xdr:colOff>
      <xdr:row>1</xdr:row>
      <xdr:rowOff>295275</xdr:rowOff>
    </xdr:to>
    <xdr:sp>
      <xdr:nvSpPr>
        <xdr:cNvPr id="1" name="Testo 9"/>
        <xdr:cNvSpPr txBox="1">
          <a:spLocks noChangeArrowheads="1"/>
        </xdr:cNvSpPr>
      </xdr:nvSpPr>
      <xdr:spPr>
        <a:xfrm>
          <a:off x="9525" y="590550"/>
          <a:ext cx="7591425"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4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Passaggi di qualifica / posizione economica / profilo del personale a tempo indeterminato e dirigente nel corso dell'anno</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28575</xdr:rowOff>
    </xdr:from>
    <xdr:to>
      <xdr:col>7</xdr:col>
      <xdr:colOff>619125</xdr:colOff>
      <xdr:row>1</xdr:row>
      <xdr:rowOff>285750</xdr:rowOff>
    </xdr:to>
    <xdr:sp>
      <xdr:nvSpPr>
        <xdr:cNvPr id="1" name="Testo 13"/>
        <xdr:cNvSpPr txBox="1">
          <a:spLocks noChangeArrowheads="1"/>
        </xdr:cNvSpPr>
      </xdr:nvSpPr>
      <xdr:spPr>
        <a:xfrm>
          <a:off x="0" y="581025"/>
          <a:ext cx="6696075"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5</a:t>
          </a: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Personale a tempo indeterminato  e personale dirigente cessato dal servizio nel corso dell'anno</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28575</xdr:rowOff>
    </xdr:from>
    <xdr:to>
      <xdr:col>6</xdr:col>
      <xdr:colOff>0</xdr:colOff>
      <xdr:row>1</xdr:row>
      <xdr:rowOff>285750</xdr:rowOff>
    </xdr:to>
    <xdr:sp>
      <xdr:nvSpPr>
        <xdr:cNvPr id="1" name="Testo 13"/>
        <xdr:cNvSpPr txBox="1">
          <a:spLocks noChangeArrowheads="1"/>
        </xdr:cNvSpPr>
      </xdr:nvSpPr>
      <xdr:spPr>
        <a:xfrm>
          <a:off x="0" y="581025"/>
          <a:ext cx="5267325"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6 </a:t>
          </a:r>
          <a:r>
            <a:rPr lang="en-US" cap="none" sz="8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Personale a tempo indeterminato e personale dirigente assunto in servizio nel corso dell'anno</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rv-areacomune\IGOP\area%20condivisa%20uffici%20III%20V%20e%20VI\public2E\CONTO%20ANNUALE\2012\Kit%20Excel%202012\4-\Campione%20da%20RAL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rv-areacomune\IGOP\area%20condivisa%20uffici%20III%20V%20e%20VI\public2E\contrattazione%20integrativa\_Elabo_tavole15\Kit%20testati%20e%20definitivi\2014Kit%20testati%20e%20definitivi\CNEL_C_N_E_L_.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rv-areacomune\IGOP\2017\KIT%202017\In%20Lavorazione\1%20-%20Per%20invio%20a%20BEPPE\KIT%20in%20lavorazione\RALN_CAMPION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rv-areacomune\IGOP\area%20condivisa%20uffici%20III%20V%20e%20VI\public2E\CONTO%20ANNUALE\2016\KIT%202016\MATERIALE%20e%20ISTRUZIONI\Cananzi\KIT%20Puliti%20da%20mandare%20a%20Gianluca\2017-05-11_MNS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I_1"/>
      <sheetName val="COCOCO"/>
      <sheetName val="SI_1A(COMUNI-PROVINCE)"/>
      <sheetName val="SI_1A(UNIONE_COMUNI)"/>
      <sheetName val="SI_1A(COMUNITA_MONTANE)"/>
      <sheetName val="SI_2(1)"/>
      <sheetName val="SI_2(2)"/>
      <sheetName val="t1"/>
      <sheetName val="t2"/>
      <sheetName val="t2A"/>
      <sheetName val="t3"/>
      <sheetName val="t4"/>
      <sheetName val="t5"/>
      <sheetName val="t6"/>
      <sheetName val="t7"/>
      <sheetName val="t8"/>
      <sheetName val="t9"/>
      <sheetName val="t10"/>
      <sheetName val="t11"/>
      <sheetName val="t12"/>
      <sheetName val="t13"/>
      <sheetName val="t14"/>
      <sheetName val="t15(1)"/>
      <sheetName val="t15(2)"/>
      <sheetName val="Tabella Riconciliazione"/>
      <sheetName val="Valori Medi"/>
      <sheetName val="Squadratura 1"/>
      <sheetName val="Squadratura 2"/>
      <sheetName val="Squadratura 3"/>
      <sheetName val="Squadratura 4"/>
      <sheetName val="Squadratura 7"/>
      <sheetName val="Incongruenza 1"/>
      <sheetName val="Incongruenza 2"/>
      <sheetName val="Incongruenza 3"/>
      <sheetName val="Incongruenza 4 e controlli t14"/>
      <sheetName val="Incongruenza 5"/>
      <sheetName val="Incongruenza 6"/>
      <sheetName val="Incongruenza 7"/>
      <sheetName val="Incongruenza 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I_1"/>
      <sheetName val="COCOCO"/>
      <sheetName val="SI_2(1)"/>
      <sheetName val="SI_2(2)"/>
      <sheetName val="t1"/>
      <sheetName val="t2"/>
      <sheetName val="t2A"/>
      <sheetName val="t3"/>
      <sheetName val="t4"/>
      <sheetName val="t5"/>
      <sheetName val="t6"/>
      <sheetName val="t7"/>
      <sheetName val="t8"/>
      <sheetName val="t9"/>
      <sheetName val="t10"/>
      <sheetName val="t11"/>
      <sheetName val="t12"/>
      <sheetName val="t13"/>
      <sheetName val="t14"/>
      <sheetName val="t15(1)"/>
      <sheetName val="t15(2)"/>
      <sheetName val="t15(3)"/>
      <sheetName val="Tabella Riconciliazione"/>
      <sheetName val="Valori Medi"/>
      <sheetName val="Squadratura 1"/>
      <sheetName val="Squadratura 2"/>
      <sheetName val="Squadratura 3"/>
      <sheetName val="Squadratura 4"/>
      <sheetName val="Incongruenza 1"/>
      <sheetName val="Incongruenza 2"/>
      <sheetName val="Incongruenza 3"/>
      <sheetName val="Incongruenza 4 e controlli t14"/>
      <sheetName val="Incongruenza 5"/>
      <sheetName val="Incongruenza 6"/>
      <sheetName val="Incongruenza 7"/>
      <sheetName val="Incongruenza 8"/>
      <sheetName val="Incongruenza 10"/>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I_1"/>
      <sheetName val="COCOCO"/>
      <sheetName val="SI_1A(COMUNI-PROVINCE-CITTA_ME)"/>
      <sheetName val="SI_1A(UNIONE_COMUNI)"/>
      <sheetName val="SI_1A(COMUNITA_MONTANE)"/>
      <sheetName val="SI_1A_CONV"/>
      <sheetName val="t1"/>
      <sheetName val="t2"/>
      <sheetName val="t2A"/>
      <sheetName val="t3"/>
      <sheetName val="t4"/>
      <sheetName val="t5"/>
      <sheetName val="t6"/>
      <sheetName val="t7"/>
      <sheetName val="t8"/>
      <sheetName val="t9"/>
      <sheetName val="t10"/>
      <sheetName val="t11"/>
      <sheetName val="t12"/>
      <sheetName val="t13"/>
      <sheetName val="t14"/>
      <sheetName val="t15(1)"/>
      <sheetName val="t15(2)"/>
      <sheetName val="SICI(1)"/>
      <sheetName val="SICI(2)"/>
      <sheetName val="Tabella Riconciliazione"/>
      <sheetName val="Valori Medi"/>
      <sheetName val="Squadratura 1"/>
      <sheetName val="Squadratura 2"/>
      <sheetName val="Squadratura 3"/>
      <sheetName val="Squadratura 4"/>
      <sheetName val="Squadratura 7"/>
      <sheetName val="Incongruenze 1 e 11"/>
      <sheetName val="Incongruenza 2"/>
      <sheetName val="Incongruenze 3, 12 e 13"/>
      <sheetName val="Incongruenza 4 e controlli t14"/>
      <sheetName val="Incongruenza 5"/>
      <sheetName val="Incongruenza 6"/>
      <sheetName val="Incongruenza 7"/>
      <sheetName val="Incongruenza 8"/>
      <sheetName val="Incongruenza 10"/>
      <sheetName val="Incongruenza 14"/>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t15(1)"/>
      <sheetName val="t15(2)"/>
      <sheetName val="t15(3)"/>
      <sheetName val="SICI(1)"/>
      <sheetName val="SICI(2)"/>
      <sheetName val="SI_2(1)"/>
      <sheetName val="SI_2(2)"/>
      <sheetName val="Domande"/>
      <sheetName val="t1"/>
      <sheetName val="t1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7.x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oglio18">
    <pageSetUpPr fitToPage="1"/>
  </sheetPr>
  <dimension ref="A1:K331"/>
  <sheetViews>
    <sheetView showGridLines="0" tabSelected="1" zoomScale="75" zoomScaleNormal="75" zoomScalePageLayoutView="0" workbookViewId="0" topLeftCell="A1">
      <selection activeCell="E10" sqref="E10:G10"/>
    </sheetView>
  </sheetViews>
  <sheetFormatPr defaultColWidth="6.33203125" defaultRowHeight="10.5"/>
  <cols>
    <col min="1" max="1" width="6.66015625" style="380" customWidth="1"/>
    <col min="2" max="2" width="25.83203125" style="378" customWidth="1"/>
    <col min="3" max="3" width="31" style="378" customWidth="1"/>
    <col min="4" max="4" width="20.5" style="378" customWidth="1"/>
    <col min="5" max="5" width="40.66015625" style="378" customWidth="1"/>
    <col min="6" max="6" width="29" style="378" customWidth="1"/>
    <col min="7" max="7" width="26" style="378" customWidth="1"/>
    <col min="8" max="10" width="5.33203125" style="355" hidden="1" customWidth="1"/>
    <col min="11" max="11" width="38.83203125" style="355" customWidth="1"/>
    <col min="12" max="16384" width="6.33203125" style="355" customWidth="1"/>
  </cols>
  <sheetData>
    <row r="1" ht="57.75" customHeight="1">
      <c r="A1" s="504" t="s">
        <v>309</v>
      </c>
    </row>
    <row r="2" spans="1:7" s="356" customFormat="1" ht="20.25" customHeight="1">
      <c r="A2" s="505" t="s">
        <v>448</v>
      </c>
      <c r="B2" s="379"/>
      <c r="C2" s="1273"/>
      <c r="D2" s="1273"/>
      <c r="E2" s="1273"/>
      <c r="F2" s="1273"/>
      <c r="G2" s="379"/>
    </row>
    <row r="3" spans="1:7" s="356" customFormat="1" ht="27" customHeight="1">
      <c r="A3" s="408"/>
      <c r="B3" s="488"/>
      <c r="C3" s="1280" t="str">
        <f>'t1'!A1</f>
        <v>CNEL - anno 2018</v>
      </c>
      <c r="D3" s="1280"/>
      <c r="E3" s="1280"/>
      <c r="F3" s="1280"/>
      <c r="G3" s="379"/>
    </row>
    <row r="4" spans="3:8" ht="13.5">
      <c r="C4" s="381"/>
      <c r="D4" s="381"/>
      <c r="E4" s="381"/>
      <c r="F4" s="381"/>
      <c r="H4" s="357"/>
    </row>
    <row r="5" spans="5:8" ht="13.5">
      <c r="E5" s="380"/>
      <c r="H5" s="357"/>
    </row>
    <row r="6" spans="2:7" ht="18" customHeight="1">
      <c r="B6" s="1281" t="s">
        <v>360</v>
      </c>
      <c r="C6" s="1282"/>
      <c r="D6" s="1282"/>
      <c r="E6" s="1282"/>
      <c r="F6" s="1282"/>
      <c r="G6" s="1283"/>
    </row>
    <row r="7" ht="6" customHeight="1"/>
    <row r="8" spans="1:7" ht="19.5" customHeight="1" hidden="1">
      <c r="A8" s="409"/>
      <c r="B8" s="378" t="s">
        <v>267</v>
      </c>
      <c r="D8" s="382"/>
      <c r="E8" s="1274"/>
      <c r="F8" s="1275"/>
      <c r="G8" s="1276"/>
    </row>
    <row r="9" spans="1:11" ht="28.5" customHeight="1" hidden="1">
      <c r="A9" s="409"/>
      <c r="B9" s="358" t="s">
        <v>268</v>
      </c>
      <c r="C9" s="358"/>
      <c r="D9" s="382"/>
      <c r="E9" s="1277"/>
      <c r="F9" s="1278"/>
      <c r="G9" s="1279"/>
      <c r="K9" s="506"/>
    </row>
    <row r="10" spans="1:11" ht="28.5" customHeight="1">
      <c r="A10" s="409"/>
      <c r="B10" s="358" t="s">
        <v>269</v>
      </c>
      <c r="C10" s="358"/>
      <c r="D10" s="382"/>
      <c r="E10" s="1274"/>
      <c r="F10" s="1275"/>
      <c r="G10" s="1276"/>
      <c r="K10" s="506"/>
    </row>
    <row r="11" spans="1:11" ht="28.5" customHeight="1">
      <c r="A11" s="409"/>
      <c r="B11" s="358" t="s">
        <v>270</v>
      </c>
      <c r="C11" s="358"/>
      <c r="D11" s="382"/>
      <c r="E11" s="1274"/>
      <c r="F11" s="1275"/>
      <c r="G11" s="1276"/>
      <c r="K11" s="506"/>
    </row>
    <row r="12" spans="1:11" ht="28.5" customHeight="1">
      <c r="A12" s="409"/>
      <c r="B12" s="358" t="s">
        <v>271</v>
      </c>
      <c r="C12" s="358"/>
      <c r="D12" s="382"/>
      <c r="E12" s="1284"/>
      <c r="F12" s="1275"/>
      <c r="G12" s="1276"/>
      <c r="K12" s="506"/>
    </row>
    <row r="13" spans="1:11" ht="28.5" customHeight="1" hidden="1">
      <c r="A13" s="409"/>
      <c r="B13" s="358" t="s">
        <v>272</v>
      </c>
      <c r="C13" s="677"/>
      <c r="D13" s="678"/>
      <c r="E13" s="679"/>
      <c r="F13" s="680"/>
      <c r="G13" s="681"/>
      <c r="H13" s="594"/>
      <c r="I13" s="595"/>
      <c r="J13" s="582"/>
      <c r="K13" s="596"/>
    </row>
    <row r="14" spans="1:7" s="360" customFormat="1" ht="20.25" customHeight="1" hidden="1">
      <c r="A14" s="409"/>
      <c r="B14" s="359"/>
      <c r="C14" s="383" t="s">
        <v>273</v>
      </c>
      <c r="D14" s="384" t="s">
        <v>298</v>
      </c>
      <c r="E14" s="383" t="s">
        <v>274</v>
      </c>
      <c r="F14" s="383" t="s">
        <v>315</v>
      </c>
      <c r="G14" s="383"/>
    </row>
    <row r="15" spans="1:7" s="537" customFormat="1" ht="28.5" customHeight="1">
      <c r="A15" s="378"/>
      <c r="B15" s="358" t="s">
        <v>55</v>
      </c>
      <c r="C15" s="536"/>
      <c r="D15" s="1303"/>
      <c r="E15" s="1304"/>
      <c r="F15" s="1304"/>
      <c r="G15" s="1305"/>
    </row>
    <row r="16" spans="1:7" ht="18" customHeight="1">
      <c r="A16" s="409"/>
      <c r="B16" s="1281" t="s">
        <v>355</v>
      </c>
      <c r="C16" s="1282"/>
      <c r="D16" s="1282"/>
      <c r="E16" s="1282"/>
      <c r="F16" s="1282"/>
      <c r="G16" s="1283"/>
    </row>
    <row r="17" spans="1:7" s="361" customFormat="1" ht="15" customHeight="1">
      <c r="A17" s="409"/>
      <c r="B17" s="385" t="s">
        <v>275</v>
      </c>
      <c r="C17" s="719"/>
      <c r="D17" s="719"/>
      <c r="E17" s="719"/>
      <c r="F17" s="719"/>
      <c r="G17" s="719"/>
    </row>
    <row r="18" spans="1:7" s="361" customFormat="1" ht="15.75">
      <c r="A18" s="409"/>
      <c r="B18" s="387" t="s">
        <v>276</v>
      </c>
      <c r="C18" s="387"/>
      <c r="D18" s="387" t="s">
        <v>277</v>
      </c>
      <c r="E18" s="387"/>
      <c r="F18" s="388" t="s">
        <v>291</v>
      </c>
      <c r="G18" s="713"/>
    </row>
    <row r="19" spans="1:11" ht="22.5" customHeight="1">
      <c r="A19" s="409"/>
      <c r="B19" s="1274"/>
      <c r="C19" s="1275"/>
      <c r="D19" s="1274"/>
      <c r="E19" s="1275"/>
      <c r="F19" s="1284"/>
      <c r="G19" s="1276"/>
      <c r="K19" s="507"/>
    </row>
    <row r="20" spans="1:7" s="361" customFormat="1" ht="15" customHeight="1">
      <c r="A20" s="409"/>
      <c r="B20" s="385" t="s">
        <v>278</v>
      </c>
      <c r="C20" s="386"/>
      <c r="D20" s="387"/>
      <c r="E20" s="387"/>
      <c r="F20" s="719"/>
      <c r="G20" s="719"/>
    </row>
    <row r="21" spans="1:7" s="361" customFormat="1" ht="15" customHeight="1">
      <c r="A21" s="409"/>
      <c r="B21" s="387" t="s">
        <v>276</v>
      </c>
      <c r="C21" s="387"/>
      <c r="D21" s="387" t="s">
        <v>277</v>
      </c>
      <c r="E21" s="387"/>
      <c r="F21" s="388" t="s">
        <v>291</v>
      </c>
      <c r="G21" s="714"/>
    </row>
    <row r="22" spans="1:11" ht="23.25" customHeight="1">
      <c r="A22" s="409"/>
      <c r="B22" s="1285"/>
      <c r="C22" s="1286"/>
      <c r="D22" s="1285"/>
      <c r="E22" s="1286"/>
      <c r="F22" s="1285"/>
      <c r="G22" s="1286"/>
      <c r="K22" s="507" t="str">
        <f>IF(OR(LEN(B22)&gt;0,LEN(D22)&gt;0),IF(LEN(F22)=0,"E' NECESSARIO COMPILARE IL CAMPO E-MAIL"," ")," ")</f>
        <v> </v>
      </c>
    </row>
    <row r="23" spans="1:11" ht="23.25" customHeight="1">
      <c r="A23" s="409"/>
      <c r="B23" s="1285"/>
      <c r="C23" s="1286"/>
      <c r="D23" s="1285"/>
      <c r="E23" s="1286"/>
      <c r="F23" s="1285"/>
      <c r="G23" s="1286"/>
      <c r="K23" s="507" t="str">
        <f>IF(OR(LEN(B23)&gt;0,LEN(D23)&gt;0),IF(LEN(F23)=0,"E' NECESSARIO COMPILARE IL CAMPO E-MAIL"," ")," ")</f>
        <v> </v>
      </c>
    </row>
    <row r="24" spans="1:11" ht="23.25" customHeight="1">
      <c r="A24" s="409"/>
      <c r="B24" s="1285"/>
      <c r="C24" s="1286"/>
      <c r="D24" s="1285"/>
      <c r="E24" s="1286"/>
      <c r="F24" s="1285"/>
      <c r="G24" s="1286"/>
      <c r="K24" s="507" t="str">
        <f>IF(OR(LEN(B24)&gt;0,LEN(D24)&gt;0),IF(LEN(F24)=0,"E' NECESSARIO COMPILARE IL CAMPO E-MAIL"," ")," ")</f>
        <v> </v>
      </c>
    </row>
    <row r="25" spans="1:11" ht="23.25" customHeight="1">
      <c r="A25" s="409"/>
      <c r="B25" s="1285"/>
      <c r="C25" s="1286"/>
      <c r="D25" s="1285"/>
      <c r="E25" s="1286"/>
      <c r="F25" s="1285"/>
      <c r="G25" s="1286"/>
      <c r="K25" s="507" t="str">
        <f>IF(OR(LEN(B25)&gt;0,LEN(D25)&gt;0),IF(LEN(F25)=0,"E' NECESSARIO COMPILARE IL CAMPO E-MAIL"," ")," ")</f>
        <v> </v>
      </c>
    </row>
    <row r="26" spans="1:11" ht="23.25" customHeight="1">
      <c r="A26" s="409"/>
      <c r="B26" s="1285"/>
      <c r="C26" s="1286"/>
      <c r="D26" s="1285"/>
      <c r="E26" s="1286"/>
      <c r="F26" s="1285"/>
      <c r="G26" s="1286"/>
      <c r="K26" s="507" t="str">
        <f>IF(OR(LEN(B26)&gt;0,LEN(D26)&gt;0),IF(LEN(F26)=0,"E' NECESSARIO COMPILARE IL CAMPO E-MAIL"," ")," ")</f>
        <v> </v>
      </c>
    </row>
    <row r="27" spans="1:7" s="357" customFormat="1" ht="17.25">
      <c r="A27" s="409"/>
      <c r="B27" s="389"/>
      <c r="C27" s="390"/>
      <c r="D27" s="390"/>
      <c r="E27" s="391"/>
      <c r="F27" s="392"/>
      <c r="G27" s="392"/>
    </row>
    <row r="28" spans="1:8" ht="18" customHeight="1">
      <c r="A28" s="409"/>
      <c r="B28" s="394" t="s">
        <v>279</v>
      </c>
      <c r="C28" s="393"/>
      <c r="D28" s="393"/>
      <c r="E28" s="395"/>
      <c r="F28" s="396"/>
      <c r="G28" s="396"/>
      <c r="H28" s="362"/>
    </row>
    <row r="29" spans="1:8" ht="13.5" customHeight="1">
      <c r="A29" s="409"/>
      <c r="B29" s="393"/>
      <c r="C29" s="393"/>
      <c r="D29" s="393"/>
      <c r="E29" s="395"/>
      <c r="F29" s="397"/>
      <c r="G29" s="397"/>
      <c r="H29" s="362"/>
    </row>
    <row r="30" spans="1:8" ht="18" customHeight="1">
      <c r="A30" s="409"/>
      <c r="B30" s="1281" t="s">
        <v>356</v>
      </c>
      <c r="C30" s="1282"/>
      <c r="D30" s="1282"/>
      <c r="E30" s="1282"/>
      <c r="F30" s="1282"/>
      <c r="G30" s="1283"/>
      <c r="H30" s="362"/>
    </row>
    <row r="31" spans="1:7" ht="7.5" customHeight="1">
      <c r="A31" s="409"/>
      <c r="B31" s="785"/>
      <c r="C31" s="786"/>
      <c r="D31" s="786"/>
      <c r="E31" s="380"/>
      <c r="F31" s="786"/>
      <c r="G31" s="786"/>
    </row>
    <row r="32" spans="1:7" s="363" customFormat="1" ht="15.75" customHeight="1">
      <c r="A32" s="409"/>
      <c r="B32" s="787" t="s">
        <v>639</v>
      </c>
      <c r="C32" s="787"/>
      <c r="D32" s="787" t="s">
        <v>640</v>
      </c>
      <c r="E32" s="787" t="s">
        <v>641</v>
      </c>
      <c r="F32" s="884" t="s">
        <v>642</v>
      </c>
      <c r="G32" s="788" t="s">
        <v>280</v>
      </c>
    </row>
    <row r="33" spans="1:11" ht="40.5" customHeight="1">
      <c r="A33" s="409"/>
      <c r="B33" s="1308"/>
      <c r="C33" s="1309"/>
      <c r="D33" s="678"/>
      <c r="E33" s="682"/>
      <c r="F33" s="683"/>
      <c r="G33" s="683"/>
      <c r="K33" s="507" t="str">
        <f>IF(AND(LEN(B33)&gt;0,LEN(D33)&gt;0,LEN(E33)&gt;0,LEN(F33)&gt;0),"","COMPILARE TUTTI I DATI DEL RESPONSABILE CONTRASSEGNATI CON L'ASTERISCO")</f>
        <v>COMPILARE TUTTI I DATI DEL RESPONSABILE CONTRASSEGNATI CON L'ASTERISCO</v>
      </c>
    </row>
    <row r="34" spans="1:7" ht="20.25" customHeight="1" hidden="1">
      <c r="A34" s="409"/>
      <c r="B34" s="1310"/>
      <c r="C34" s="1311"/>
      <c r="D34" s="885"/>
      <c r="E34" s="508"/>
      <c r="F34" s="886"/>
      <c r="G34" s="886"/>
    </row>
    <row r="35" spans="1:7" ht="18" customHeight="1">
      <c r="A35" s="409"/>
      <c r="B35" s="792"/>
      <c r="C35" s="792"/>
      <c r="D35" s="793"/>
      <c r="E35" s="793"/>
      <c r="F35" s="380"/>
      <c r="G35" s="380"/>
    </row>
    <row r="36" spans="1:8" ht="18" customHeight="1">
      <c r="A36" s="409"/>
      <c r="B36" s="1281" t="s">
        <v>580</v>
      </c>
      <c r="C36" s="1282"/>
      <c r="D36" s="1282"/>
      <c r="E36" s="1282"/>
      <c r="F36" s="1282"/>
      <c r="G36" s="1283"/>
      <c r="H36" s="362"/>
    </row>
    <row r="37" spans="1:7" ht="7.5" customHeight="1">
      <c r="A37" s="409"/>
      <c r="B37" s="785"/>
      <c r="C37" s="786"/>
      <c r="D37" s="786"/>
      <c r="E37" s="380"/>
      <c r="F37" s="786"/>
      <c r="G37" s="786"/>
    </row>
    <row r="38" spans="1:7" s="363" customFormat="1" ht="15.75" customHeight="1">
      <c r="A38" s="409"/>
      <c r="B38" s="787" t="s">
        <v>276</v>
      </c>
      <c r="C38" s="787"/>
      <c r="D38" s="787" t="s">
        <v>277</v>
      </c>
      <c r="E38" s="787" t="s">
        <v>291</v>
      </c>
      <c r="F38" s="398" t="s">
        <v>269</v>
      </c>
      <c r="G38" s="788" t="s">
        <v>280</v>
      </c>
    </row>
    <row r="39" spans="1:11" ht="23.25" customHeight="1">
      <c r="A39" s="409"/>
      <c r="B39" s="1306"/>
      <c r="C39" s="1307"/>
      <c r="D39" s="789"/>
      <c r="E39" s="790"/>
      <c r="F39" s="791"/>
      <c r="G39" s="791"/>
      <c r="K39" s="507"/>
    </row>
    <row r="40" spans="1:7" ht="18" customHeight="1">
      <c r="A40" s="409"/>
      <c r="B40" s="792"/>
      <c r="C40" s="792"/>
      <c r="D40" s="793"/>
      <c r="E40" s="793"/>
      <c r="F40" s="380"/>
      <c r="G40" s="380"/>
    </row>
    <row r="41" spans="1:7" ht="18" customHeight="1">
      <c r="A41" s="409"/>
      <c r="B41" s="1281" t="s">
        <v>361</v>
      </c>
      <c r="C41" s="1282"/>
      <c r="D41" s="1282"/>
      <c r="E41" s="1282"/>
      <c r="F41" s="1282"/>
      <c r="G41" s="1283"/>
    </row>
    <row r="42" spans="1:7" ht="6" customHeight="1">
      <c r="A42" s="409"/>
      <c r="B42" s="358"/>
      <c r="C42" s="358"/>
      <c r="D42" s="399"/>
      <c r="E42" s="399"/>
      <c r="F42" s="400"/>
      <c r="G42" s="400"/>
    </row>
    <row r="43" spans="1:9" ht="15.75" hidden="1">
      <c r="A43" s="409"/>
      <c r="B43" s="364"/>
      <c r="C43" s="358"/>
      <c r="F43" s="375"/>
      <c r="G43" s="375"/>
      <c r="H43" s="410" t="b">
        <v>0</v>
      </c>
      <c r="I43" s="410" t="b">
        <v>0</v>
      </c>
    </row>
    <row r="44" spans="1:11" ht="29.25" customHeight="1" hidden="1">
      <c r="A44" s="409">
        <v>1</v>
      </c>
      <c r="B44" s="1272" t="s">
        <v>281</v>
      </c>
      <c r="C44" s="1272"/>
      <c r="D44" s="1272"/>
      <c r="E44" s="1272"/>
      <c r="F44" s="617"/>
      <c r="G44" s="617"/>
      <c r="H44" s="490"/>
      <c r="I44" s="490"/>
      <c r="J44" s="509"/>
      <c r="K44" s="507"/>
    </row>
    <row r="45" spans="2:9" ht="8.25" customHeight="1" hidden="1">
      <c r="B45" s="364"/>
      <c r="C45" s="358"/>
      <c r="F45" s="672"/>
      <c r="G45" s="672"/>
      <c r="H45" s="410"/>
      <c r="I45" s="410"/>
    </row>
    <row r="46" spans="1:11" ht="29.25" customHeight="1" hidden="1">
      <c r="A46" s="409">
        <v>2</v>
      </c>
      <c r="B46" s="1272" t="s">
        <v>281</v>
      </c>
      <c r="C46" s="1272"/>
      <c r="D46" s="1272"/>
      <c r="E46" s="1272"/>
      <c r="F46" s="673"/>
      <c r="G46" s="673"/>
      <c r="H46" s="490"/>
      <c r="I46" s="490"/>
      <c r="J46" s="509"/>
      <c r="K46" s="507"/>
    </row>
    <row r="47" spans="1:9" ht="8.25" customHeight="1" hidden="1">
      <c r="A47" s="409"/>
      <c r="B47" s="364"/>
      <c r="C47" s="358"/>
      <c r="F47" s="672"/>
      <c r="G47" s="672"/>
      <c r="H47" s="410"/>
      <c r="I47" s="410"/>
    </row>
    <row r="48" spans="1:11" ht="29.25" customHeight="1" hidden="1">
      <c r="A48" s="409">
        <v>3</v>
      </c>
      <c r="B48" s="1272" t="s">
        <v>281</v>
      </c>
      <c r="C48" s="1272"/>
      <c r="D48" s="1272"/>
      <c r="E48" s="1272"/>
      <c r="F48" s="673"/>
      <c r="G48" s="673"/>
      <c r="H48" s="490"/>
      <c r="I48" s="490"/>
      <c r="J48" s="509"/>
      <c r="K48" s="507"/>
    </row>
    <row r="49" spans="1:9" ht="8.25" customHeight="1" hidden="1">
      <c r="A49" s="409"/>
      <c r="B49" s="674"/>
      <c r="C49" s="674"/>
      <c r="D49" s="674"/>
      <c r="E49" s="674"/>
      <c r="F49" s="672"/>
      <c r="G49" s="672"/>
      <c r="H49" s="410"/>
      <c r="I49" s="410"/>
    </row>
    <row r="50" spans="1:11" ht="29.25" customHeight="1" hidden="1">
      <c r="A50" s="409">
        <v>4</v>
      </c>
      <c r="B50" s="1272" t="s">
        <v>281</v>
      </c>
      <c r="C50" s="1272"/>
      <c r="D50" s="1272"/>
      <c r="E50" s="1272"/>
      <c r="F50" s="673"/>
      <c r="G50" s="673"/>
      <c r="H50" s="490"/>
      <c r="I50" s="490"/>
      <c r="J50" s="509"/>
      <c r="K50" s="507"/>
    </row>
    <row r="51" spans="1:9" ht="9.75" customHeight="1" hidden="1">
      <c r="A51" s="409"/>
      <c r="H51" s="490"/>
      <c r="I51" s="490"/>
    </row>
    <row r="52" spans="1:7" ht="15.75">
      <c r="A52" s="409"/>
      <c r="B52" s="380"/>
      <c r="C52" s="380"/>
      <c r="F52" s="400"/>
      <c r="G52" s="401"/>
    </row>
    <row r="53" spans="1:11" ht="27" customHeight="1">
      <c r="A53" s="409">
        <v>5</v>
      </c>
      <c r="B53" s="1270" t="s">
        <v>281</v>
      </c>
      <c r="C53" s="1270"/>
      <c r="D53" s="1270"/>
      <c r="E53" s="1270"/>
      <c r="F53" s="1271"/>
      <c r="G53" s="712"/>
      <c r="K53" s="507"/>
    </row>
    <row r="54" spans="1:7" ht="4.5" customHeight="1">
      <c r="A54" s="409"/>
      <c r="B54" s="364"/>
      <c r="C54" s="364"/>
      <c r="D54" s="702"/>
      <c r="E54" s="702"/>
      <c r="F54" s="702"/>
      <c r="G54" s="403"/>
    </row>
    <row r="55" spans="1:7" ht="15.75">
      <c r="A55" s="409"/>
      <c r="B55" s="703"/>
      <c r="C55" s="703"/>
      <c r="D55" s="704"/>
      <c r="E55" s="705"/>
      <c r="F55" s="581"/>
      <c r="G55" s="401" t="s">
        <v>282</v>
      </c>
    </row>
    <row r="56" spans="1:11" ht="24" customHeight="1">
      <c r="A56" s="409">
        <v>6</v>
      </c>
      <c r="B56" s="1270" t="s">
        <v>564</v>
      </c>
      <c r="C56" s="1270"/>
      <c r="D56" s="1270"/>
      <c r="E56" s="1270"/>
      <c r="F56" s="1271"/>
      <c r="G56" s="623">
        <v>0</v>
      </c>
      <c r="K56" s="507">
        <f>IF(G56="","INSERIRE CAMPO OBBLIGATORIO",IF(G56=" ","INSERIRE NUMERO VALIDO",IF(AND(G56&gt;0,G56&lt;999999999999,COCOCO!$I$24=0),"COMPILARE LA SI_COCOCO","")))</f>
      </c>
    </row>
    <row r="57" spans="1:7" ht="4.5" customHeight="1">
      <c r="A57" s="409"/>
      <c r="B57" s="364"/>
      <c r="C57" s="700"/>
      <c r="D57" s="704"/>
      <c r="E57" s="705"/>
      <c r="F57" s="581"/>
      <c r="G57" s="381"/>
    </row>
    <row r="58" spans="1:7" ht="15.75">
      <c r="A58" s="409"/>
      <c r="B58" s="703"/>
      <c r="C58" s="706"/>
      <c r="D58" s="707"/>
      <c r="E58" s="708"/>
      <c r="F58" s="709"/>
      <c r="G58" s="401" t="s">
        <v>282</v>
      </c>
    </row>
    <row r="59" spans="1:11" ht="24" customHeight="1">
      <c r="A59" s="409">
        <v>7</v>
      </c>
      <c r="B59" s="1270" t="s">
        <v>565</v>
      </c>
      <c r="C59" s="1270"/>
      <c r="D59" s="1270"/>
      <c r="E59" s="1270"/>
      <c r="F59" s="1271"/>
      <c r="G59" s="623">
        <v>0</v>
      </c>
      <c r="K59" s="507">
        <f>IF(G59="","INSERIRE CAMPO OBBLIGATORIO",IF(G59=" ","INSERIRE NUMERO VALIDO",""))</f>
      </c>
    </row>
    <row r="60" spans="1:7" ht="4.5" customHeight="1">
      <c r="A60" s="409"/>
      <c r="B60" s="364"/>
      <c r="C60" s="700"/>
      <c r="D60" s="704"/>
      <c r="E60" s="705"/>
      <c r="F60" s="581"/>
      <c r="G60" s="381" t="s">
        <v>111</v>
      </c>
    </row>
    <row r="61" spans="1:7" ht="15.75">
      <c r="A61" s="409"/>
      <c r="B61" s="703"/>
      <c r="C61" s="706"/>
      <c r="D61" s="707"/>
      <c r="E61" s="708"/>
      <c r="F61" s="709"/>
      <c r="G61" s="401" t="s">
        <v>282</v>
      </c>
    </row>
    <row r="62" spans="1:11" ht="24" customHeight="1">
      <c r="A62" s="409">
        <v>8</v>
      </c>
      <c r="B62" s="1270" t="s">
        <v>566</v>
      </c>
      <c r="C62" s="1270"/>
      <c r="D62" s="1270"/>
      <c r="E62" s="1270"/>
      <c r="F62" s="1271"/>
      <c r="G62" s="623">
        <v>0</v>
      </c>
      <c r="K62" s="507">
        <f>IF(G62="","INSERIRE CAMPO OBBLIGATORIO",IF(G62=" ","INSERIRE NUMERO VALIDO",""))</f>
      </c>
    </row>
    <row r="63" spans="1:7" ht="4.5" customHeight="1">
      <c r="A63" s="409"/>
      <c r="B63" s="364"/>
      <c r="C63" s="700"/>
      <c r="D63" s="704"/>
      <c r="E63" s="705"/>
      <c r="F63" s="581"/>
      <c r="G63" s="381" t="s">
        <v>111</v>
      </c>
    </row>
    <row r="64" spans="1:10" s="380" customFormat="1" ht="15" customHeight="1" hidden="1">
      <c r="A64" s="564"/>
      <c r="B64" s="364"/>
      <c r="C64" s="700"/>
      <c r="D64" s="704"/>
      <c r="E64" s="705"/>
      <c r="F64" s="581"/>
      <c r="G64"/>
      <c r="H64"/>
      <c r="I64" s="583"/>
      <c r="J64" s="583"/>
    </row>
    <row r="65" spans="1:10" s="380" customFormat="1" ht="15" customHeight="1" hidden="1">
      <c r="A65" s="564"/>
      <c r="B65" s="364"/>
      <c r="C65" s="700"/>
      <c r="D65" s="704"/>
      <c r="E65" s="705"/>
      <c r="F65" s="581"/>
      <c r="G65"/>
      <c r="H65"/>
      <c r="I65" s="560"/>
      <c r="J65" s="583"/>
    </row>
    <row r="66" spans="1:10" s="380" customFormat="1" ht="15" customHeight="1" hidden="1">
      <c r="A66" s="564"/>
      <c r="B66" s="364"/>
      <c r="C66" s="700"/>
      <c r="D66" s="704"/>
      <c r="E66" s="705"/>
      <c r="F66" s="581"/>
      <c r="G66"/>
      <c r="H66"/>
      <c r="I66" s="560"/>
      <c r="J66" s="583"/>
    </row>
    <row r="67" spans="1:10" s="380" customFormat="1" ht="15" customHeight="1" hidden="1">
      <c r="A67" s="564"/>
      <c r="B67" s="364"/>
      <c r="C67" s="700"/>
      <c r="D67" s="704"/>
      <c r="E67" s="705"/>
      <c r="F67" s="581"/>
      <c r="G67"/>
      <c r="H67"/>
      <c r="I67" s="560"/>
      <c r="J67" s="583"/>
    </row>
    <row r="68" spans="1:10" s="380" customFormat="1" ht="15" customHeight="1" hidden="1">
      <c r="A68" s="564"/>
      <c r="B68" s="364"/>
      <c r="C68" s="700"/>
      <c r="D68" s="704"/>
      <c r="E68" s="705"/>
      <c r="F68" s="581"/>
      <c r="G68"/>
      <c r="H68"/>
      <c r="I68" s="560"/>
      <c r="J68" s="583"/>
    </row>
    <row r="69" spans="1:10" s="380" customFormat="1" ht="15" customHeight="1" hidden="1">
      <c r="A69" s="564"/>
      <c r="B69" s="364"/>
      <c r="C69" s="700"/>
      <c r="D69" s="704"/>
      <c r="E69" s="705"/>
      <c r="F69" s="581"/>
      <c r="G69"/>
      <c r="H69"/>
      <c r="I69" s="560"/>
      <c r="J69" s="583"/>
    </row>
    <row r="70" spans="1:7" ht="9.75" customHeight="1" hidden="1">
      <c r="A70" s="409"/>
      <c r="B70" s="364"/>
      <c r="C70" s="700"/>
      <c r="D70" s="704"/>
      <c r="E70" s="705"/>
      <c r="F70" s="581"/>
      <c r="G70" s="614"/>
    </row>
    <row r="71" spans="1:7" ht="9.75" customHeight="1" hidden="1">
      <c r="A71" s="409"/>
      <c r="B71" s="364"/>
      <c r="C71" s="700"/>
      <c r="D71" s="704"/>
      <c r="E71" s="705"/>
      <c r="F71" s="581"/>
      <c r="G71" s="614"/>
    </row>
    <row r="72" spans="1:7" ht="9.75" customHeight="1" hidden="1">
      <c r="A72" s="409"/>
      <c r="B72" s="364"/>
      <c r="C72" s="700"/>
      <c r="D72" s="704"/>
      <c r="E72" s="705"/>
      <c r="F72" s="581"/>
      <c r="G72" s="614"/>
    </row>
    <row r="73" spans="1:7" ht="9.75" customHeight="1" hidden="1">
      <c r="A73" s="409"/>
      <c r="B73" s="364"/>
      <c r="C73" s="700"/>
      <c r="D73" s="704"/>
      <c r="E73" s="705"/>
      <c r="F73" s="581"/>
      <c r="G73" s="614"/>
    </row>
    <row r="74" spans="1:7" ht="9.75" customHeight="1" hidden="1">
      <c r="A74" s="409"/>
      <c r="B74" s="364"/>
      <c r="C74" s="700"/>
      <c r="D74" s="704"/>
      <c r="E74" s="705"/>
      <c r="F74" s="581"/>
      <c r="G74" s="614"/>
    </row>
    <row r="75" spans="1:7" ht="9.75" customHeight="1" hidden="1">
      <c r="A75" s="409"/>
      <c r="B75" s="364"/>
      <c r="C75" s="700"/>
      <c r="D75" s="704"/>
      <c r="E75" s="705"/>
      <c r="F75" s="581"/>
      <c r="G75" s="614"/>
    </row>
    <row r="76" spans="1:7" ht="9.75" customHeight="1" hidden="1">
      <c r="A76" s="409"/>
      <c r="B76" s="364"/>
      <c r="C76" s="700"/>
      <c r="D76" s="704"/>
      <c r="E76" s="705"/>
      <c r="F76" s="581"/>
      <c r="G76" s="614"/>
    </row>
    <row r="77" spans="1:7" ht="9.75" customHeight="1" hidden="1">
      <c r="A77" s="409"/>
      <c r="B77" s="364"/>
      <c r="C77" s="700"/>
      <c r="D77" s="704"/>
      <c r="E77" s="705"/>
      <c r="F77" s="581"/>
      <c r="G77" s="614"/>
    </row>
    <row r="78" spans="1:7" ht="9.75" customHeight="1" hidden="1">
      <c r="A78" s="409"/>
      <c r="B78" s="364"/>
      <c r="C78" s="700"/>
      <c r="D78" s="704"/>
      <c r="E78" s="705"/>
      <c r="F78" s="581"/>
      <c r="G78" s="614"/>
    </row>
    <row r="79" spans="1:11" ht="9.75" customHeight="1" hidden="1">
      <c r="A79" s="409"/>
      <c r="B79" s="364"/>
      <c r="C79" s="700"/>
      <c r="D79" s="704"/>
      <c r="E79" s="705"/>
      <c r="F79" s="581"/>
      <c r="G79" s="575"/>
      <c r="K79" s="507"/>
    </row>
    <row r="80" spans="1:7" ht="17.25" customHeight="1" hidden="1">
      <c r="A80" s="409"/>
      <c r="B80" s="364"/>
      <c r="C80" s="700"/>
      <c r="D80" s="704"/>
      <c r="E80" s="705"/>
      <c r="F80" s="581"/>
      <c r="G80" s="381"/>
    </row>
    <row r="81" spans="1:7" ht="15.75">
      <c r="A81" s="409"/>
      <c r="B81" s="703"/>
      <c r="C81" s="706"/>
      <c r="D81" s="707"/>
      <c r="E81" s="708"/>
      <c r="F81" s="709"/>
      <c r="G81" s="401" t="s">
        <v>341</v>
      </c>
    </row>
    <row r="82" spans="1:11" ht="27" customHeight="1">
      <c r="A82" s="409">
        <v>9</v>
      </c>
      <c r="B82" s="1270" t="s">
        <v>567</v>
      </c>
      <c r="C82" s="1270"/>
      <c r="D82" s="1270"/>
      <c r="E82" s="1270"/>
      <c r="F82" s="1271"/>
      <c r="G82" s="623"/>
      <c r="K82" s="507"/>
    </row>
    <row r="83" spans="1:11" ht="5.25" customHeight="1">
      <c r="A83" s="409"/>
      <c r="B83" s="503"/>
      <c r="C83" s="503"/>
      <c r="D83" s="503"/>
      <c r="E83" s="503"/>
      <c r="F83" s="510"/>
      <c r="G83" s="381"/>
      <c r="K83" s="507"/>
    </row>
    <row r="84" spans="1:7" ht="15.75">
      <c r="A84" s="409"/>
      <c r="B84" s="380"/>
      <c r="C84" s="380"/>
      <c r="F84" s="400"/>
      <c r="G84" s="401"/>
    </row>
    <row r="85" spans="1:11" ht="27" customHeight="1">
      <c r="A85" s="409">
        <v>10</v>
      </c>
      <c r="B85" s="1270" t="s">
        <v>281</v>
      </c>
      <c r="C85" s="1270"/>
      <c r="D85" s="1270"/>
      <c r="E85" s="1270"/>
      <c r="F85" s="1271"/>
      <c r="G85" s="712"/>
      <c r="K85" s="507"/>
    </row>
    <row r="86" spans="1:11" ht="5.25" customHeight="1" hidden="1">
      <c r="A86" s="409"/>
      <c r="B86" s="503"/>
      <c r="C86" s="503"/>
      <c r="D86" s="503"/>
      <c r="E86" s="503"/>
      <c r="F86" s="510"/>
      <c r="G86" s="381"/>
      <c r="K86" s="507"/>
    </row>
    <row r="87" spans="1:7" ht="15.75" hidden="1">
      <c r="A87" s="409"/>
      <c r="B87" s="703"/>
      <c r="C87" s="706"/>
      <c r="D87" s="707"/>
      <c r="E87" s="708"/>
      <c r="F87" s="709"/>
      <c r="G87" s="401"/>
    </row>
    <row r="88" spans="1:11" ht="27" customHeight="1" hidden="1">
      <c r="A88" s="409">
        <v>11</v>
      </c>
      <c r="B88" s="1270" t="s">
        <v>281</v>
      </c>
      <c r="C88" s="1270"/>
      <c r="D88" s="1270"/>
      <c r="E88" s="1270"/>
      <c r="F88" s="1271"/>
      <c r="G88" s="712"/>
      <c r="K88" s="507"/>
    </row>
    <row r="89" spans="1:11" ht="5.25" customHeight="1" hidden="1">
      <c r="A89" s="409"/>
      <c r="B89" s="503"/>
      <c r="C89" s="503"/>
      <c r="D89" s="503"/>
      <c r="E89" s="503"/>
      <c r="F89" s="510"/>
      <c r="G89" s="381"/>
      <c r="K89" s="507"/>
    </row>
    <row r="90" spans="1:7" ht="13.5" hidden="1">
      <c r="A90" s="701"/>
      <c r="B90" s="703"/>
      <c r="C90" s="706"/>
      <c r="D90" s="707"/>
      <c r="E90" s="708"/>
      <c r="F90" s="709"/>
      <c r="G90" s="401"/>
    </row>
    <row r="91" spans="1:11" ht="27" customHeight="1" hidden="1">
      <c r="A91" s="409">
        <v>12</v>
      </c>
      <c r="B91" s="1270" t="s">
        <v>281</v>
      </c>
      <c r="C91" s="1270"/>
      <c r="D91" s="1270"/>
      <c r="E91" s="1270"/>
      <c r="F91" s="1271"/>
      <c r="G91" s="712"/>
      <c r="K91" s="507"/>
    </row>
    <row r="92" spans="1:11" ht="4.5" customHeight="1" hidden="1">
      <c r="A92" s="409"/>
      <c r="B92" s="503"/>
      <c r="C92" s="503"/>
      <c r="D92" s="503"/>
      <c r="E92" s="503"/>
      <c r="F92" s="510"/>
      <c r="G92" s="510"/>
      <c r="K92" s="507"/>
    </row>
    <row r="93" spans="1:7" ht="15.75" hidden="1">
      <c r="A93" s="409"/>
      <c r="B93" s="703"/>
      <c r="C93" s="706"/>
      <c r="D93" s="707"/>
      <c r="E93" s="708"/>
      <c r="F93" s="709"/>
      <c r="G93" s="401"/>
    </row>
    <row r="94" spans="1:11" ht="27" customHeight="1" hidden="1">
      <c r="A94" s="409">
        <v>13</v>
      </c>
      <c r="B94" s="1270" t="s">
        <v>281</v>
      </c>
      <c r="C94" s="1270"/>
      <c r="D94" s="1270"/>
      <c r="E94" s="1270"/>
      <c r="F94" s="1271"/>
      <c r="G94" s="712"/>
      <c r="K94" s="507"/>
    </row>
    <row r="95" spans="1:11" ht="4.5" customHeight="1" hidden="1">
      <c r="A95" s="409"/>
      <c r="B95" s="503"/>
      <c r="C95" s="503"/>
      <c r="D95" s="503"/>
      <c r="E95" s="503"/>
      <c r="F95" s="510"/>
      <c r="G95" s="510"/>
      <c r="K95" s="507"/>
    </row>
    <row r="96" spans="1:7" ht="15.75" hidden="1">
      <c r="A96" s="409"/>
      <c r="B96" s="703"/>
      <c r="C96" s="706"/>
      <c r="D96" s="707"/>
      <c r="E96" s="708"/>
      <c r="F96" s="709"/>
      <c r="G96" s="401"/>
    </row>
    <row r="97" spans="1:11" ht="27" customHeight="1" hidden="1">
      <c r="A97" s="409">
        <v>30</v>
      </c>
      <c r="B97" s="1270" t="s">
        <v>281</v>
      </c>
      <c r="C97" s="1270"/>
      <c r="D97" s="1270"/>
      <c r="E97" s="1270"/>
      <c r="F97" s="1271"/>
      <c r="G97" s="712"/>
      <c r="K97" s="507"/>
    </row>
    <row r="98" spans="1:11" ht="4.5" customHeight="1">
      <c r="A98" s="409"/>
      <c r="B98" s="503"/>
      <c r="C98" s="503"/>
      <c r="D98" s="503"/>
      <c r="E98" s="503"/>
      <c r="F98" s="510"/>
      <c r="G98" s="510"/>
      <c r="K98" s="507"/>
    </row>
    <row r="99" spans="1:7" ht="15.75">
      <c r="A99" s="409"/>
      <c r="B99" s="703"/>
      <c r="C99" s="706"/>
      <c r="D99" s="707"/>
      <c r="E99" s="708"/>
      <c r="F99" s="709"/>
      <c r="G99" s="401" t="s">
        <v>283</v>
      </c>
    </row>
    <row r="100" spans="1:11" ht="27" customHeight="1">
      <c r="A100" s="409">
        <v>31</v>
      </c>
      <c r="B100" s="1270" t="s">
        <v>568</v>
      </c>
      <c r="C100" s="1270"/>
      <c r="D100" s="1270"/>
      <c r="E100" s="1270"/>
      <c r="F100" s="1271"/>
      <c r="G100" s="623"/>
      <c r="K100" s="507"/>
    </row>
    <row r="101" spans="1:11" ht="4.5" customHeight="1">
      <c r="A101" s="409"/>
      <c r="B101" s="503"/>
      <c r="C101" s="503"/>
      <c r="D101" s="503"/>
      <c r="E101" s="503"/>
      <c r="F101" s="510"/>
      <c r="G101" s="510"/>
      <c r="K101" s="507"/>
    </row>
    <row r="102" spans="1:7" ht="15.75">
      <c r="A102" s="409"/>
      <c r="B102" s="703"/>
      <c r="C102" s="706"/>
      <c r="D102" s="707"/>
      <c r="E102" s="708"/>
      <c r="F102" s="709"/>
      <c r="G102" s="401" t="s">
        <v>283</v>
      </c>
    </row>
    <row r="103" spans="1:11" ht="27" customHeight="1">
      <c r="A103" s="409">
        <v>32</v>
      </c>
      <c r="B103" s="1270" t="s">
        <v>643</v>
      </c>
      <c r="C103" s="1270"/>
      <c r="D103" s="1270"/>
      <c r="E103" s="1270"/>
      <c r="F103" s="1271"/>
      <c r="G103" s="623"/>
      <c r="K103" s="507"/>
    </row>
    <row r="104" spans="1:11" ht="4.5" customHeight="1">
      <c r="A104" s="409"/>
      <c r="B104" s="503"/>
      <c r="C104" s="503"/>
      <c r="D104" s="503"/>
      <c r="E104" s="503"/>
      <c r="F104" s="510"/>
      <c r="G104" s="510"/>
      <c r="K104" s="507"/>
    </row>
    <row r="105" spans="1:7" ht="15.75">
      <c r="A105" s="409"/>
      <c r="B105" s="703"/>
      <c r="C105" s="706"/>
      <c r="D105" s="707"/>
      <c r="E105" s="708"/>
      <c r="F105" s="709"/>
      <c r="G105" s="401" t="s">
        <v>283</v>
      </c>
    </row>
    <row r="106" spans="1:11" ht="27" customHeight="1">
      <c r="A106" s="409">
        <v>33</v>
      </c>
      <c r="B106" s="1270" t="s">
        <v>569</v>
      </c>
      <c r="C106" s="1270"/>
      <c r="D106" s="1270"/>
      <c r="E106" s="1270"/>
      <c r="F106" s="1271"/>
      <c r="G106" s="623"/>
      <c r="K106" s="507"/>
    </row>
    <row r="107" spans="1:11" ht="4.5" customHeight="1">
      <c r="A107" s="409"/>
      <c r="B107" s="503"/>
      <c r="C107" s="503"/>
      <c r="D107" s="503"/>
      <c r="E107" s="503"/>
      <c r="F107" s="510"/>
      <c r="G107" s="510"/>
      <c r="K107" s="507"/>
    </row>
    <row r="108" spans="1:7" ht="15.75">
      <c r="A108" s="409"/>
      <c r="B108" s="703"/>
      <c r="C108" s="706"/>
      <c r="D108" s="707"/>
      <c r="E108" s="708"/>
      <c r="F108" s="709"/>
      <c r="G108" s="401" t="s">
        <v>283</v>
      </c>
    </row>
    <row r="109" spans="1:11" ht="27" customHeight="1">
      <c r="A109" s="409">
        <v>34</v>
      </c>
      <c r="B109" s="1270" t="s">
        <v>570</v>
      </c>
      <c r="C109" s="1270"/>
      <c r="D109" s="1270"/>
      <c r="E109" s="1270"/>
      <c r="F109" s="1271"/>
      <c r="G109" s="1176"/>
      <c r="K109" s="507"/>
    </row>
    <row r="110" spans="1:11" ht="4.5" customHeight="1">
      <c r="A110" s="409"/>
      <c r="B110" s="503"/>
      <c r="C110" s="503"/>
      <c r="D110" s="503"/>
      <c r="E110" s="503"/>
      <c r="F110" s="510"/>
      <c r="G110" s="510"/>
      <c r="K110" s="507"/>
    </row>
    <row r="111" spans="1:7" ht="15.75" hidden="1">
      <c r="A111" s="409"/>
      <c r="B111" s="703"/>
      <c r="C111" s="706"/>
      <c r="D111" s="707"/>
      <c r="E111" s="708"/>
      <c r="F111" s="709"/>
      <c r="G111" s="1177"/>
    </row>
    <row r="112" spans="1:11" ht="27" customHeight="1" hidden="1">
      <c r="A112" s="409">
        <v>35</v>
      </c>
      <c r="B112" s="1270" t="s">
        <v>281</v>
      </c>
      <c r="C112" s="1270"/>
      <c r="D112" s="1270"/>
      <c r="E112" s="1270"/>
      <c r="F112" s="1271"/>
      <c r="G112" s="712"/>
      <c r="K112" s="507"/>
    </row>
    <row r="113" spans="1:11" ht="4.5" customHeight="1" hidden="1">
      <c r="A113" s="409"/>
      <c r="B113" s="503"/>
      <c r="C113" s="503"/>
      <c r="D113" s="503"/>
      <c r="E113" s="503"/>
      <c r="F113" s="510"/>
      <c r="G113" s="510"/>
      <c r="K113" s="507"/>
    </row>
    <row r="114" spans="1:7" ht="15.75" hidden="1">
      <c r="A114" s="409"/>
      <c r="B114" s="703"/>
      <c r="C114" s="706"/>
      <c r="D114" s="707"/>
      <c r="E114" s="708"/>
      <c r="F114" s="709"/>
      <c r="G114" s="1177"/>
    </row>
    <row r="115" spans="1:11" ht="27" customHeight="1" hidden="1">
      <c r="A115" s="409">
        <v>36</v>
      </c>
      <c r="B115" s="1270" t="s">
        <v>281</v>
      </c>
      <c r="C115" s="1270"/>
      <c r="D115" s="1270"/>
      <c r="E115" s="1270"/>
      <c r="F115" s="1271"/>
      <c r="G115" s="712"/>
      <c r="K115" s="507"/>
    </row>
    <row r="116" spans="1:11" ht="4.5" customHeight="1" hidden="1">
      <c r="A116" s="409"/>
      <c r="B116" s="503"/>
      <c r="C116" s="503"/>
      <c r="D116" s="503"/>
      <c r="E116" s="503"/>
      <c r="F116" s="510"/>
      <c r="G116" s="510"/>
      <c r="K116" s="507"/>
    </row>
    <row r="117" spans="1:7" ht="15.75" hidden="1">
      <c r="A117" s="409"/>
      <c r="B117" s="1178"/>
      <c r="C117" s="1178"/>
      <c r="D117" s="1178"/>
      <c r="E117" s="1178"/>
      <c r="F117" s="1178"/>
      <c r="G117" s="1177"/>
    </row>
    <row r="118" spans="1:11" ht="27" customHeight="1" hidden="1">
      <c r="A118" s="409">
        <v>37</v>
      </c>
      <c r="B118" s="1270" t="s">
        <v>281</v>
      </c>
      <c r="C118" s="1270"/>
      <c r="D118" s="1270"/>
      <c r="E118" s="1270"/>
      <c r="F118" s="1271"/>
      <c r="G118" s="712"/>
      <c r="K118" s="507"/>
    </row>
    <row r="119" spans="1:11" ht="4.5" customHeight="1" hidden="1">
      <c r="A119" s="409"/>
      <c r="B119" s="503"/>
      <c r="C119" s="503"/>
      <c r="D119" s="503"/>
      <c r="E119" s="503"/>
      <c r="F119" s="510"/>
      <c r="G119" s="510"/>
      <c r="K119" s="507"/>
    </row>
    <row r="120" spans="1:7" ht="15.75" hidden="1">
      <c r="A120" s="409"/>
      <c r="B120" s="703"/>
      <c r="C120" s="706"/>
      <c r="D120" s="707"/>
      <c r="E120" s="708"/>
      <c r="F120" s="709"/>
      <c r="G120" s="1177"/>
    </row>
    <row r="121" spans="1:11" ht="27" customHeight="1" hidden="1">
      <c r="A121" s="409">
        <v>38</v>
      </c>
      <c r="B121" s="1270" t="s">
        <v>281</v>
      </c>
      <c r="C121" s="1270"/>
      <c r="D121" s="1270"/>
      <c r="E121" s="1270"/>
      <c r="F121" s="1271"/>
      <c r="G121" s="712"/>
      <c r="K121" s="507"/>
    </row>
    <row r="122" spans="1:11" ht="4.5" customHeight="1" hidden="1">
      <c r="A122" s="409"/>
      <c r="B122" s="503"/>
      <c r="C122" s="503"/>
      <c r="D122" s="503"/>
      <c r="E122" s="503"/>
      <c r="F122" s="510"/>
      <c r="G122" s="510"/>
      <c r="K122" s="507"/>
    </row>
    <row r="123" spans="1:7" ht="15.75" hidden="1">
      <c r="A123" s="409"/>
      <c r="B123" s="703"/>
      <c r="C123" s="706"/>
      <c r="D123" s="707"/>
      <c r="E123" s="708"/>
      <c r="F123" s="709"/>
      <c r="G123" s="1177"/>
    </row>
    <row r="124" spans="1:11" ht="27" customHeight="1" hidden="1">
      <c r="A124" s="409">
        <v>39</v>
      </c>
      <c r="B124" s="1270" t="s">
        <v>281</v>
      </c>
      <c r="C124" s="1270"/>
      <c r="D124" s="1270"/>
      <c r="E124" s="1270"/>
      <c r="F124" s="1271"/>
      <c r="G124" s="712"/>
      <c r="K124" s="507"/>
    </row>
    <row r="125" spans="1:11" ht="4.5" customHeight="1" hidden="1">
      <c r="A125" s="409"/>
      <c r="B125" s="503"/>
      <c r="C125" s="503"/>
      <c r="D125" s="503"/>
      <c r="E125" s="503"/>
      <c r="F125" s="510"/>
      <c r="G125" s="510"/>
      <c r="K125" s="507"/>
    </row>
    <row r="126" spans="1:7" ht="15.75" hidden="1">
      <c r="A126" s="409"/>
      <c r="B126" s="703"/>
      <c r="C126" s="706"/>
      <c r="D126" s="707"/>
      <c r="E126" s="708"/>
      <c r="F126" s="709"/>
      <c r="G126" s="1177"/>
    </row>
    <row r="127" spans="1:11" ht="27" customHeight="1" hidden="1">
      <c r="A127" s="409">
        <v>40</v>
      </c>
      <c r="B127" s="1270" t="s">
        <v>281</v>
      </c>
      <c r="C127" s="1270"/>
      <c r="D127" s="1270"/>
      <c r="E127" s="1270"/>
      <c r="F127" s="1271"/>
      <c r="G127" s="712"/>
      <c r="K127" s="507"/>
    </row>
    <row r="128" spans="1:11" ht="4.5" customHeight="1" hidden="1">
      <c r="A128" s="409"/>
      <c r="B128" s="503"/>
      <c r="C128" s="503"/>
      <c r="D128" s="503"/>
      <c r="E128" s="503"/>
      <c r="F128" s="510"/>
      <c r="G128" s="510"/>
      <c r="K128" s="507"/>
    </row>
    <row r="129" spans="1:7" ht="15.75" hidden="1">
      <c r="A129" s="409"/>
      <c r="B129" s="703"/>
      <c r="C129" s="706"/>
      <c r="D129" s="707"/>
      <c r="E129" s="708"/>
      <c r="F129" s="709"/>
      <c r="G129" s="1177"/>
    </row>
    <row r="130" spans="1:11" ht="27" customHeight="1" hidden="1">
      <c r="A130" s="409">
        <v>41</v>
      </c>
      <c r="B130" s="1270" t="s">
        <v>281</v>
      </c>
      <c r="C130" s="1270"/>
      <c r="D130" s="1270"/>
      <c r="E130" s="1270"/>
      <c r="F130" s="1271"/>
      <c r="G130" s="712"/>
      <c r="K130" s="507"/>
    </row>
    <row r="131" spans="1:11" ht="4.5" customHeight="1" hidden="1">
      <c r="A131" s="409"/>
      <c r="B131" s="503"/>
      <c r="C131" s="503"/>
      <c r="D131" s="503"/>
      <c r="E131" s="503"/>
      <c r="F131" s="510"/>
      <c r="G131" s="510"/>
      <c r="K131" s="507"/>
    </row>
    <row r="132" spans="1:7" ht="15.75" hidden="1">
      <c r="A132" s="409"/>
      <c r="B132" s="703"/>
      <c r="C132" s="706"/>
      <c r="D132" s="707"/>
      <c r="E132" s="708"/>
      <c r="F132" s="709"/>
      <c r="G132" s="1177"/>
    </row>
    <row r="133" spans="1:11" ht="27" customHeight="1" hidden="1">
      <c r="A133" s="409">
        <v>42</v>
      </c>
      <c r="B133" s="1270" t="s">
        <v>281</v>
      </c>
      <c r="C133" s="1270"/>
      <c r="D133" s="1270"/>
      <c r="E133" s="1270"/>
      <c r="F133" s="1271"/>
      <c r="G133" s="712"/>
      <c r="K133" s="507"/>
    </row>
    <row r="134" spans="1:11" ht="4.5" customHeight="1" hidden="1">
      <c r="A134" s="409"/>
      <c r="B134" s="503"/>
      <c r="C134" s="503"/>
      <c r="D134" s="503"/>
      <c r="E134" s="503"/>
      <c r="F134" s="510"/>
      <c r="G134" s="510"/>
      <c r="K134" s="507"/>
    </row>
    <row r="135" spans="1:7" ht="15.75" hidden="1">
      <c r="A135" s="409"/>
      <c r="B135" s="703"/>
      <c r="C135" s="706"/>
      <c r="D135" s="707"/>
      <c r="E135" s="708"/>
      <c r="F135" s="709"/>
      <c r="G135" s="1177"/>
    </row>
    <row r="136" spans="1:11" ht="27" customHeight="1" hidden="1">
      <c r="A136" s="409">
        <v>43</v>
      </c>
      <c r="B136" s="1270" t="s">
        <v>281</v>
      </c>
      <c r="C136" s="1270"/>
      <c r="D136" s="1270"/>
      <c r="E136" s="1270"/>
      <c r="F136" s="1271"/>
      <c r="G136" s="712"/>
      <c r="K136" s="507"/>
    </row>
    <row r="137" spans="1:11" ht="4.5" customHeight="1" hidden="1">
      <c r="A137" s="409"/>
      <c r="B137" s="503"/>
      <c r="C137" s="503"/>
      <c r="D137" s="503"/>
      <c r="E137" s="503"/>
      <c r="F137" s="510"/>
      <c r="G137" s="510"/>
      <c r="K137" s="507"/>
    </row>
    <row r="138" spans="1:7" ht="15.75" hidden="1">
      <c r="A138" s="409"/>
      <c r="B138" s="703"/>
      <c r="C138" s="706"/>
      <c r="D138" s="707"/>
      <c r="E138" s="708"/>
      <c r="F138" s="709"/>
      <c r="G138" s="1177"/>
    </row>
    <row r="139" spans="1:11" ht="27" customHeight="1" hidden="1">
      <c r="A139" s="409">
        <v>44</v>
      </c>
      <c r="B139" s="1270" t="s">
        <v>281</v>
      </c>
      <c r="C139" s="1270"/>
      <c r="D139" s="1270"/>
      <c r="E139" s="1270"/>
      <c r="F139" s="1271"/>
      <c r="G139" s="712"/>
      <c r="K139" s="507"/>
    </row>
    <row r="140" spans="1:11" ht="4.5" customHeight="1" hidden="1">
      <c r="A140" s="409"/>
      <c r="B140" s="503"/>
      <c r="C140" s="503"/>
      <c r="D140" s="503"/>
      <c r="E140" s="503"/>
      <c r="F140" s="510"/>
      <c r="G140" s="510"/>
      <c r="K140" s="507"/>
    </row>
    <row r="141" spans="1:7" ht="15.75" hidden="1">
      <c r="A141" s="409"/>
      <c r="B141" s="703"/>
      <c r="C141" s="706"/>
      <c r="D141" s="707"/>
      <c r="E141" s="708"/>
      <c r="F141" s="709"/>
      <c r="G141" s="1177"/>
    </row>
    <row r="142" spans="1:11" ht="27" customHeight="1" hidden="1">
      <c r="A142" s="409">
        <v>45</v>
      </c>
      <c r="B142" s="1270" t="s">
        <v>281</v>
      </c>
      <c r="C142" s="1270"/>
      <c r="D142" s="1270"/>
      <c r="E142" s="1270"/>
      <c r="F142" s="1271"/>
      <c r="G142" s="712"/>
      <c r="K142" s="507"/>
    </row>
    <row r="143" spans="1:11" ht="4.5" customHeight="1" hidden="1">
      <c r="A143" s="409"/>
      <c r="B143" s="503"/>
      <c r="C143" s="503"/>
      <c r="D143" s="503"/>
      <c r="E143" s="503"/>
      <c r="F143" s="510"/>
      <c r="G143" s="510"/>
      <c r="K143" s="507"/>
    </row>
    <row r="144" spans="1:7" ht="15.75" hidden="1">
      <c r="A144" s="409"/>
      <c r="B144" s="703"/>
      <c r="C144" s="706"/>
      <c r="D144" s="707"/>
      <c r="E144" s="708"/>
      <c r="F144" s="709"/>
      <c r="G144" s="1177"/>
    </row>
    <row r="145" spans="1:11" ht="27" customHeight="1" hidden="1">
      <c r="A145" s="409">
        <v>46</v>
      </c>
      <c r="B145" s="1270" t="s">
        <v>281</v>
      </c>
      <c r="C145" s="1270"/>
      <c r="D145" s="1270"/>
      <c r="E145" s="1270"/>
      <c r="F145" s="1271"/>
      <c r="G145" s="712"/>
      <c r="K145" s="507"/>
    </row>
    <row r="146" spans="1:11" ht="3.75" customHeight="1" hidden="1">
      <c r="A146" s="409"/>
      <c r="B146" s="503"/>
      <c r="C146" s="503"/>
      <c r="D146" s="503"/>
      <c r="E146" s="503"/>
      <c r="F146" s="510"/>
      <c r="G146" s="1174"/>
      <c r="K146" s="507"/>
    </row>
    <row r="147" spans="1:11" s="380" customFormat="1" ht="15" customHeight="1" hidden="1">
      <c r="A147" s="409"/>
      <c r="B147" s="503"/>
      <c r="C147" s="503"/>
      <c r="D147" s="503"/>
      <c r="E147" s="503"/>
      <c r="F147" s="510"/>
      <c r="G147" s="1177"/>
      <c r="K147" s="1175"/>
    </row>
    <row r="148" spans="1:11" s="380" customFormat="1" ht="27" customHeight="1" hidden="1">
      <c r="A148" s="409">
        <v>47</v>
      </c>
      <c r="B148" s="1270" t="s">
        <v>281</v>
      </c>
      <c r="C148" s="1270"/>
      <c r="D148" s="1270"/>
      <c r="E148" s="1270"/>
      <c r="F148" s="1271"/>
      <c r="G148" s="712"/>
      <c r="K148" s="1175"/>
    </row>
    <row r="149" spans="1:11" s="380" customFormat="1" ht="3.75" customHeight="1" hidden="1">
      <c r="A149" s="409"/>
      <c r="C149" s="503"/>
      <c r="D149" s="503"/>
      <c r="E149" s="503"/>
      <c r="F149" s="510"/>
      <c r="G149" s="510"/>
      <c r="K149" s="1175"/>
    </row>
    <row r="150" spans="1:11" s="380" customFormat="1" ht="15" customHeight="1" hidden="1">
      <c r="A150" s="409"/>
      <c r="B150" s="503"/>
      <c r="C150" s="503"/>
      <c r="D150" s="503"/>
      <c r="E150" s="503"/>
      <c r="F150" s="510"/>
      <c r="G150" s="1177"/>
      <c r="K150" s="1175"/>
    </row>
    <row r="151" spans="1:11" s="380" customFormat="1" ht="27" customHeight="1" hidden="1">
      <c r="A151" s="409">
        <v>48</v>
      </c>
      <c r="B151" s="1270" t="s">
        <v>281</v>
      </c>
      <c r="C151" s="1270"/>
      <c r="D151" s="1270"/>
      <c r="E151" s="1270"/>
      <c r="F151" s="1271"/>
      <c r="G151" s="712"/>
      <c r="K151" s="1175"/>
    </row>
    <row r="152" spans="1:11" s="380" customFormat="1" ht="3" customHeight="1" hidden="1">
      <c r="A152" s="409"/>
      <c r="B152" s="503"/>
      <c r="C152" s="503"/>
      <c r="D152" s="503"/>
      <c r="E152" s="503"/>
      <c r="F152" s="510"/>
      <c r="G152" s="1174"/>
      <c r="K152" s="1175"/>
    </row>
    <row r="153" spans="1:11" s="380" customFormat="1" ht="15" customHeight="1" hidden="1">
      <c r="A153" s="409"/>
      <c r="B153" s="503"/>
      <c r="C153" s="503"/>
      <c r="D153" s="503"/>
      <c r="E153" s="503"/>
      <c r="F153" s="510"/>
      <c r="G153" s="1177"/>
      <c r="K153" s="1175"/>
    </row>
    <row r="154" spans="1:11" s="380" customFormat="1" ht="27" customHeight="1" hidden="1">
      <c r="A154" s="409">
        <v>49</v>
      </c>
      <c r="B154" s="1270" t="s">
        <v>281</v>
      </c>
      <c r="C154" s="1270"/>
      <c r="D154" s="1270"/>
      <c r="E154" s="1270"/>
      <c r="F154" s="1271"/>
      <c r="G154" s="712"/>
      <c r="K154" s="1175"/>
    </row>
    <row r="155" spans="1:11" ht="4.5" customHeight="1" hidden="1">
      <c r="A155" s="409"/>
      <c r="B155" s="503"/>
      <c r="C155" s="503"/>
      <c r="D155" s="503"/>
      <c r="E155" s="503"/>
      <c r="F155" s="510"/>
      <c r="G155" s="510"/>
      <c r="K155" s="507"/>
    </row>
    <row r="156" spans="1:7" ht="15.75" hidden="1">
      <c r="A156" s="409"/>
      <c r="B156" s="703"/>
      <c r="C156" s="706"/>
      <c r="D156" s="707"/>
      <c r="E156" s="708"/>
      <c r="F156" s="709"/>
      <c r="G156" s="1177"/>
    </row>
    <row r="157" spans="1:11" ht="27" customHeight="1" hidden="1">
      <c r="A157" s="409">
        <v>50</v>
      </c>
      <c r="B157" s="1270" t="s">
        <v>281</v>
      </c>
      <c r="C157" s="1270"/>
      <c r="D157" s="1270"/>
      <c r="E157" s="1270"/>
      <c r="F157" s="1271"/>
      <c r="G157" s="712"/>
      <c r="K157" s="507"/>
    </row>
    <row r="158" spans="1:11" ht="4.5" customHeight="1" hidden="1">
      <c r="A158" s="409"/>
      <c r="B158" s="503"/>
      <c r="C158" s="503"/>
      <c r="D158" s="503"/>
      <c r="E158" s="503"/>
      <c r="F158" s="510"/>
      <c r="G158" s="510"/>
      <c r="K158" s="507"/>
    </row>
    <row r="159" spans="1:7" ht="15.75" hidden="1">
      <c r="A159" s="409"/>
      <c r="B159" s="703"/>
      <c r="C159" s="706"/>
      <c r="D159" s="707"/>
      <c r="E159" s="708"/>
      <c r="F159" s="709"/>
      <c r="G159" s="1177"/>
    </row>
    <row r="160" spans="1:11" ht="27" customHeight="1" hidden="1">
      <c r="A160" s="409">
        <v>51</v>
      </c>
      <c r="B160" s="1270" t="s">
        <v>281</v>
      </c>
      <c r="C160" s="1270"/>
      <c r="D160" s="1270"/>
      <c r="E160" s="1270"/>
      <c r="F160" s="1271"/>
      <c r="G160" s="712"/>
      <c r="K160" s="507"/>
    </row>
    <row r="161" spans="1:11" ht="4.5" customHeight="1" hidden="1">
      <c r="A161" s="409"/>
      <c r="B161" s="503"/>
      <c r="C161" s="503"/>
      <c r="D161" s="503"/>
      <c r="E161" s="503"/>
      <c r="F161" s="510"/>
      <c r="G161" s="510"/>
      <c r="K161" s="507"/>
    </row>
    <row r="162" spans="1:7" ht="15.75" hidden="1">
      <c r="A162" s="409"/>
      <c r="B162" s="703"/>
      <c r="C162" s="706"/>
      <c r="D162" s="707"/>
      <c r="E162" s="708"/>
      <c r="F162" s="709"/>
      <c r="G162" s="1177"/>
    </row>
    <row r="163" spans="1:11" ht="27" customHeight="1" hidden="1">
      <c r="A163" s="409">
        <v>52</v>
      </c>
      <c r="B163" s="1270" t="s">
        <v>281</v>
      </c>
      <c r="C163" s="1270"/>
      <c r="D163" s="1270"/>
      <c r="E163" s="1270"/>
      <c r="F163" s="1271"/>
      <c r="G163" s="712"/>
      <c r="K163" s="507"/>
    </row>
    <row r="164" spans="1:11" ht="4.5" customHeight="1" hidden="1">
      <c r="A164" s="409"/>
      <c r="B164" s="503"/>
      <c r="C164" s="503"/>
      <c r="D164" s="503"/>
      <c r="E164" s="503"/>
      <c r="F164" s="510"/>
      <c r="G164" s="510"/>
      <c r="K164" s="507"/>
    </row>
    <row r="165" spans="1:7" ht="15.75" hidden="1">
      <c r="A165" s="409"/>
      <c r="B165" s="703"/>
      <c r="C165" s="706"/>
      <c r="D165" s="707"/>
      <c r="E165" s="708"/>
      <c r="F165" s="709"/>
      <c r="G165" s="1177"/>
    </row>
    <row r="166" spans="1:11" ht="27" customHeight="1" hidden="1">
      <c r="A166" s="409">
        <v>53</v>
      </c>
      <c r="B166" s="1270" t="s">
        <v>281</v>
      </c>
      <c r="C166" s="1270"/>
      <c r="D166" s="1270"/>
      <c r="E166" s="1270"/>
      <c r="F166" s="1271"/>
      <c r="G166" s="712"/>
      <c r="K166" s="507"/>
    </row>
    <row r="167" spans="1:11" ht="4.5" customHeight="1" hidden="1">
      <c r="A167" s="409"/>
      <c r="B167" s="503"/>
      <c r="C167" s="503"/>
      <c r="D167" s="503"/>
      <c r="E167" s="503"/>
      <c r="F167" s="510"/>
      <c r="G167" s="510"/>
      <c r="K167" s="507"/>
    </row>
    <row r="168" spans="1:7" ht="15.75" hidden="1">
      <c r="A168" s="409"/>
      <c r="B168" s="703"/>
      <c r="C168" s="706"/>
      <c r="D168" s="707"/>
      <c r="E168" s="708"/>
      <c r="F168" s="709"/>
      <c r="G168" s="1177"/>
    </row>
    <row r="169" spans="1:11" ht="27" customHeight="1" hidden="1">
      <c r="A169" s="409">
        <v>54</v>
      </c>
      <c r="B169" s="1270" t="s">
        <v>281</v>
      </c>
      <c r="C169" s="1270"/>
      <c r="D169" s="1270"/>
      <c r="E169" s="1270"/>
      <c r="F169" s="1271"/>
      <c r="G169" s="712"/>
      <c r="K169" s="507"/>
    </row>
    <row r="170" spans="2:7" ht="13.5" hidden="1">
      <c r="B170" s="786"/>
      <c r="C170" s="786"/>
      <c r="D170" s="786"/>
      <c r="E170" s="786"/>
      <c r="F170" s="786"/>
      <c r="G170" s="786"/>
    </row>
    <row r="171" spans="2:7" ht="13.5" hidden="1">
      <c r="B171" s="786"/>
      <c r="C171" s="786"/>
      <c r="D171" s="786"/>
      <c r="E171" s="786"/>
      <c r="F171" s="786"/>
      <c r="G171" s="786"/>
    </row>
    <row r="172" spans="2:7" ht="13.5" hidden="1">
      <c r="B172" s="786"/>
      <c r="C172" s="786"/>
      <c r="D172" s="786"/>
      <c r="E172" s="786"/>
      <c r="F172" s="786"/>
      <c r="G172" s="786"/>
    </row>
    <row r="173" spans="1:11" s="380" customFormat="1" ht="15" customHeight="1">
      <c r="A173" s="409"/>
      <c r="B173" s="503"/>
      <c r="C173" s="503"/>
      <c r="D173" s="503"/>
      <c r="E173" s="503"/>
      <c r="F173" s="510"/>
      <c r="G173" s="1174"/>
      <c r="K173" s="1175"/>
    </row>
    <row r="174" spans="1:7" ht="33" customHeight="1">
      <c r="A174" s="409"/>
      <c r="B174" s="1291" t="s">
        <v>630</v>
      </c>
      <c r="C174" s="1292"/>
      <c r="D174" s="1292"/>
      <c r="E174" s="1292"/>
      <c r="F174" s="1292"/>
      <c r="G174" s="1293"/>
    </row>
    <row r="175" spans="1:11" ht="41.25" customHeight="1">
      <c r="A175" s="409"/>
      <c r="B175" s="1294"/>
      <c r="C175" s="1295"/>
      <c r="D175" s="1295"/>
      <c r="E175" s="1295"/>
      <c r="F175" s="1295"/>
      <c r="G175" s="1296"/>
      <c r="K175" s="507">
        <f>IF(LEN(B175)&gt;1500,"IL NUMERO MASSIMO DI CARATTERI CONSENTITO E' 1500","")</f>
      </c>
    </row>
    <row r="176" spans="1:11" ht="12.75" customHeight="1">
      <c r="A176" s="409"/>
      <c r="B176" s="1297"/>
      <c r="C176" s="1298"/>
      <c r="D176" s="1298"/>
      <c r="E176" s="1298"/>
      <c r="F176" s="1298"/>
      <c r="G176" s="1299"/>
      <c r="K176" s="507"/>
    </row>
    <row r="177" spans="1:7" ht="12.75" customHeight="1">
      <c r="A177" s="409"/>
      <c r="B177" s="1297"/>
      <c r="C177" s="1298"/>
      <c r="D177" s="1298"/>
      <c r="E177" s="1298"/>
      <c r="F177" s="1298"/>
      <c r="G177" s="1299"/>
    </row>
    <row r="178" spans="1:7" ht="12.75" customHeight="1">
      <c r="A178" s="409"/>
      <c r="B178" s="1297"/>
      <c r="C178" s="1298"/>
      <c r="D178" s="1298"/>
      <c r="E178" s="1298"/>
      <c r="F178" s="1298"/>
      <c r="G178" s="1299"/>
    </row>
    <row r="179" spans="1:7" ht="12.75" customHeight="1">
      <c r="A179" s="409"/>
      <c r="B179" s="1300"/>
      <c r="C179" s="1301"/>
      <c r="D179" s="1301"/>
      <c r="E179" s="1301"/>
      <c r="F179" s="1301"/>
      <c r="G179" s="1302"/>
    </row>
    <row r="180" spans="2:7" ht="38.25" customHeight="1">
      <c r="B180" s="1290" t="s">
        <v>316</v>
      </c>
      <c r="C180" s="1290"/>
      <c r="D180" s="1290"/>
      <c r="E180" s="1290"/>
      <c r="F180" s="1290"/>
      <c r="G180" s="1290"/>
    </row>
    <row r="181" ht="51" customHeight="1">
      <c r="C181" s="618"/>
    </row>
    <row r="182" spans="1:7" s="582" customFormat="1" ht="38.25" customHeight="1">
      <c r="A182" s="624"/>
      <c r="B182" s="1288" t="s">
        <v>401</v>
      </c>
      <c r="C182" s="1289"/>
      <c r="D182" s="1289"/>
      <c r="E182" s="1289"/>
      <c r="F182" s="1289"/>
      <c r="G182" s="1289"/>
    </row>
    <row r="183" ht="51.75" customHeight="1">
      <c r="C183" s="618"/>
    </row>
    <row r="184" ht="18" customHeight="1">
      <c r="C184" s="618"/>
    </row>
    <row r="185" spans="1:11" ht="51.75" customHeight="1">
      <c r="A185" s="402"/>
      <c r="B185" s="1287" t="s">
        <v>681</v>
      </c>
      <c r="C185" s="1287"/>
      <c r="D185" s="1287"/>
      <c r="E185" s="1287"/>
      <c r="F185" s="1287"/>
      <c r="G185" s="1287"/>
      <c r="H185" s="511"/>
      <c r="I185" s="511"/>
      <c r="J185" s="511"/>
      <c r="K185" s="511"/>
    </row>
    <row r="186" spans="1:7" s="1141" customFormat="1" ht="13.5">
      <c r="A186" s="1138"/>
      <c r="B186" s="1139" t="s">
        <v>328</v>
      </c>
      <c r="C186" s="1139">
        <f>IF(COCOCO!$I$24&gt;0,1,0)</f>
        <v>0</v>
      </c>
      <c r="D186" s="1140"/>
      <c r="E186" s="1139" t="s">
        <v>18</v>
      </c>
      <c r="F186" s="1139">
        <f>IF(COUNTIF('Squadratura 1'!J6:J22,"ERRORE")=0,0,1)</f>
        <v>0</v>
      </c>
      <c r="G186" s="1140"/>
    </row>
    <row r="187" spans="1:7" s="1141" customFormat="1" ht="13.5">
      <c r="A187" s="1138"/>
      <c r="B187" s="1139" t="s">
        <v>17</v>
      </c>
      <c r="C187" s="1139">
        <f>IF((+'t1'!$K$23+'t1'!$L$23)&gt;0,1,0)</f>
        <v>0</v>
      </c>
      <c r="D187" s="1140"/>
      <c r="E187" s="1139" t="s">
        <v>20</v>
      </c>
      <c r="F187" s="1139">
        <f>IF(OR('Squadratura 2'!G24="ERRORE",'Squadratura 2'!L24="ERRORE"),1,0)</f>
        <v>0</v>
      </c>
      <c r="G187" s="1140"/>
    </row>
    <row r="188" spans="1:7" s="1141" customFormat="1" ht="13.5">
      <c r="A188" s="1138"/>
      <c r="B188" s="1139" t="s">
        <v>19</v>
      </c>
      <c r="C188" s="1139">
        <f>IF(SUM('t2'!C10:P10)&gt;0,1,0)</f>
        <v>0</v>
      </c>
      <c r="D188" s="1140"/>
      <c r="E188" s="1139" t="s">
        <v>22</v>
      </c>
      <c r="F188" s="1139">
        <f>IF(OR('Squadratura 3'!N25="ERRORE",'Squadratura 3'!O25="ERRORE",'Squadratura 3'!AA25="ERRORE",'Squadratura 3'!AB25="ERRORE"),1,0)</f>
        <v>0</v>
      </c>
      <c r="G188" s="1140"/>
    </row>
    <row r="189" spans="1:7" s="1141" customFormat="1" ht="13.5">
      <c r="A189" s="1138"/>
      <c r="B189" s="1139" t="s">
        <v>327</v>
      </c>
      <c r="C189" s="1139">
        <f>IF('t2A'!$T$16&gt;0,1,0)</f>
        <v>0</v>
      </c>
      <c r="D189" s="1140"/>
      <c r="E189" s="1139" t="s">
        <v>24</v>
      </c>
      <c r="F189" s="1139">
        <f>IF(COUNTIF('Squadratura 4'!I6:I22,"ERRORE")=0,0,1)</f>
        <v>0</v>
      </c>
      <c r="G189" s="1140"/>
    </row>
    <row r="190" spans="1:11" s="1141" customFormat="1" ht="13.5">
      <c r="A190" s="1138"/>
      <c r="B190" s="1139" t="s">
        <v>21</v>
      </c>
      <c r="C190" s="1139">
        <f>IF(SUM('t3'!C23:R23)&gt;0,1,0)</f>
        <v>0</v>
      </c>
      <c r="D190" s="1140"/>
      <c r="E190" s="1139" t="s">
        <v>678</v>
      </c>
      <c r="F190" s="1139">
        <f>IF(OR('t15(2)'!H4&lt;&gt;"OK",'t15(3)'!H4&lt;&gt;"OK"),1,0)</f>
        <v>0</v>
      </c>
      <c r="G190" s="1140"/>
      <c r="K190" s="1142"/>
    </row>
    <row r="191" spans="1:11" s="1141" customFormat="1" ht="13.5">
      <c r="A191" s="1138"/>
      <c r="B191" s="1139" t="s">
        <v>23</v>
      </c>
      <c r="C191" s="1139">
        <f>IF(('t4'!$T$23)&gt;0,1,0)</f>
        <v>0</v>
      </c>
      <c r="D191" s="1140"/>
      <c r="E191" s="1139" t="s">
        <v>679</v>
      </c>
      <c r="F191" s="1139">
        <f>IF(OR('SICI(1)'!F2&lt;&gt;"OK",'SICI(2)'!F2&lt;&gt;"OK"),1,0)</f>
        <v>0</v>
      </c>
      <c r="G191" s="1140"/>
      <c r="K191" s="1142"/>
    </row>
    <row r="192" spans="1:11" s="1141" customFormat="1" ht="13.5">
      <c r="A192" s="1138"/>
      <c r="B192" s="1139" t="s">
        <v>25</v>
      </c>
      <c r="C192" s="1139">
        <f>IF(('t5'!$S$24+'t5'!$T$24)&gt;0,1,0)</f>
        <v>0</v>
      </c>
      <c r="D192" s="1140"/>
      <c r="E192" s="1139" t="s">
        <v>28</v>
      </c>
      <c r="F192" s="1139">
        <f>IF(COUNTIF('Incongruenze 1 e 11'!D5:D7,"OK")=3,0,1)</f>
        <v>0</v>
      </c>
      <c r="G192" s="1140"/>
      <c r="K192" s="1142"/>
    </row>
    <row r="193" spans="1:11" s="1141" customFormat="1" ht="13.5">
      <c r="A193" s="1138"/>
      <c r="B193" s="1139" t="s">
        <v>26</v>
      </c>
      <c r="C193" s="1139">
        <f>IF(('t6'!$W$24+'t6'!$X$24)&gt;0,1,0)</f>
        <v>0</v>
      </c>
      <c r="D193" s="1140"/>
      <c r="E193" s="1139" t="s">
        <v>30</v>
      </c>
      <c r="F193" s="1139">
        <f>IF(COUNTIF('Incongruenza 2'!I6:I22,"ERRORE")=0,0,1)</f>
        <v>0</v>
      </c>
      <c r="G193" s="1139"/>
      <c r="K193" s="1142"/>
    </row>
    <row r="194" spans="1:11" s="1141" customFormat="1" ht="13.5">
      <c r="A194" s="1138"/>
      <c r="B194" s="1139" t="s">
        <v>27</v>
      </c>
      <c r="C194" s="1139">
        <f>IF(('t7'!$W$23+'t7'!$X$23)&gt;0,1,0)</f>
        <v>0</v>
      </c>
      <c r="D194" s="1140"/>
      <c r="E194" s="1139" t="s">
        <v>599</v>
      </c>
      <c r="F194" s="1139">
        <f>IF(COUNTIF('Incongruenze 3, 12 e 13'!D5:D7,"OK")=3,0,1)</f>
        <v>0</v>
      </c>
      <c r="G194" s="1140"/>
      <c r="K194" s="1142"/>
    </row>
    <row r="195" spans="1:11" s="1141" customFormat="1" ht="13.5">
      <c r="A195" s="1138"/>
      <c r="B195" s="1139" t="s">
        <v>29</v>
      </c>
      <c r="C195" s="1139">
        <f>IF(('t8'!$AA$23+'t8'!$AB$23)&gt;0,1,0)</f>
        <v>0</v>
      </c>
      <c r="D195" s="1140"/>
      <c r="E195" s="1139" t="s">
        <v>32</v>
      </c>
      <c r="F195" s="1139">
        <f>IF(OR(AND('Incongruenza 4 e controlli t14'!F21=" ",'Incongruenza 4 e controlli t14'!F23=" "),AND('Incongruenza 4 e controlli t14'!F21="OK",'Incongruenza 4 e controlli t14'!F23="OK"),AND('Incongruenza 4 e controlli t14'!F23="E' stata dichiarata IRAP Commerciale")),0,1)</f>
        <v>0</v>
      </c>
      <c r="G195" s="1140"/>
      <c r="K195" s="1142"/>
    </row>
    <row r="196" spans="1:11" s="1141" customFormat="1" ht="13.5">
      <c r="A196" s="1138"/>
      <c r="B196" s="1139" t="s">
        <v>31</v>
      </c>
      <c r="C196" s="1139">
        <f>IF(('t9'!$O$23+'t9'!$P$23)&gt;0,1,0)</f>
        <v>0</v>
      </c>
      <c r="D196" s="1140"/>
      <c r="E196" s="1139" t="s">
        <v>34</v>
      </c>
      <c r="F196" s="1139">
        <f>IF(COUNTIF('Incongruenza 5'!G6:G22,"ERRORE")=0,0,1)</f>
        <v>0</v>
      </c>
      <c r="G196" s="1140"/>
      <c r="K196" s="1142"/>
    </row>
    <row r="197" spans="1:11" s="1141" customFormat="1" ht="13.5">
      <c r="A197" s="1138"/>
      <c r="B197" s="1139" t="s">
        <v>33</v>
      </c>
      <c r="C197" s="1139">
        <f>IF(('t10'!$AU$23+'t10'!$AV$23)&gt;0,1,0)</f>
        <v>0</v>
      </c>
      <c r="D197" s="1140"/>
      <c r="E197" s="1139" t="s">
        <v>36</v>
      </c>
      <c r="F197" s="1139">
        <f>IF(COUNTIF('Incongruenza 6'!E6:E22,"ERRORE")=0,0,1)</f>
        <v>0</v>
      </c>
      <c r="G197" s="1140"/>
      <c r="K197" s="1142"/>
    </row>
    <row r="198" spans="1:7" s="1141" customFormat="1" ht="13.5">
      <c r="A198" s="1138"/>
      <c r="B198" s="1139" t="s">
        <v>35</v>
      </c>
      <c r="C198" s="1139">
        <f>IF(('t11'!$U$25+'t11'!$V$25)&gt;0,1,0)</f>
        <v>0</v>
      </c>
      <c r="D198" s="1140"/>
      <c r="E198" s="1139" t="s">
        <v>38</v>
      </c>
      <c r="F198" s="1139">
        <f>IF(COUNTIF('Incongruenza 7'!I6:I22,"ERRORE")=0,0,1)</f>
        <v>0</v>
      </c>
      <c r="G198" s="1140"/>
    </row>
    <row r="199" spans="1:7" s="1141" customFormat="1" ht="13.5">
      <c r="A199" s="1138"/>
      <c r="B199" s="1139" t="s">
        <v>37</v>
      </c>
      <c r="C199" s="1139">
        <f>IF(('t12'!$J$23+'t12'!$C$23)&gt;0,1,0)</f>
        <v>0</v>
      </c>
      <c r="D199" s="1140"/>
      <c r="E199" s="1139" t="s">
        <v>421</v>
      </c>
      <c r="F199" s="1139">
        <f>IF(COUNTIF('Incongruenza 8'!J6:J22,"ERRORE")=0,0,1)</f>
        <v>0</v>
      </c>
      <c r="G199" s="1140"/>
    </row>
    <row r="200" spans="1:7" s="1141" customFormat="1" ht="13.5">
      <c r="A200" s="1138"/>
      <c r="B200" s="1139" t="s">
        <v>39</v>
      </c>
      <c r="C200" s="1139">
        <f>IF(('t13'!$R$23)&gt;0,1,0)</f>
        <v>0</v>
      </c>
      <c r="D200" s="1140"/>
      <c r="E200" s="1139" t="s">
        <v>802</v>
      </c>
      <c r="F200" s="1139">
        <f>IF(OR('t15(1)'!H18&lt;&gt;"OK",'t15(2)'!H18&lt;&gt;"ok",'t15(3)'!H18&lt;&gt;"ok"),1,0)</f>
        <v>0</v>
      </c>
      <c r="G200" s="1140"/>
    </row>
    <row r="201" spans="1:7" s="1141" customFormat="1" ht="13.5">
      <c r="A201" s="1138"/>
      <c r="B201" s="1139" t="s">
        <v>40</v>
      </c>
      <c r="C201" s="1139">
        <f>IF(('Incongruenza 4 e controlli t14'!$C$31)&gt;0,1,0)</f>
        <v>0</v>
      </c>
      <c r="D201" s="1140"/>
      <c r="E201" s="1139" t="s">
        <v>638</v>
      </c>
      <c r="F201" s="1139">
        <f>IF(COUNTIF('Incongruenza 10'!K10:L10,"OK")=2,0,1)</f>
        <v>0</v>
      </c>
      <c r="G201" s="1140"/>
    </row>
    <row r="202" spans="1:7" s="1141" customFormat="1" ht="13.5">
      <c r="A202" s="1138"/>
      <c r="B202" s="1139" t="s">
        <v>41</v>
      </c>
      <c r="C202" s="1139">
        <f>IF(('t15(1)'!$C$33+'t15(1)'!$G$33+'t15(2)'!$C$35+'t15(2)'!$G$35+'t15(3)'!$C$35+'t15(3)'!$G$35)&gt;0,1,0)</f>
        <v>0</v>
      </c>
      <c r="D202" s="1140"/>
      <c r="E202" s="1139" t="s">
        <v>672</v>
      </c>
      <c r="F202" s="1139">
        <f>IF(COUNTIF('Incongruenze 1 e 11'!D13:D20,"OK")=6,0,1)</f>
        <v>0</v>
      </c>
      <c r="G202" s="1140"/>
    </row>
    <row r="203" spans="1:7" s="1141" customFormat="1" ht="13.5">
      <c r="A203" s="1138"/>
      <c r="B203" s="1139" t="s">
        <v>680</v>
      </c>
      <c r="C203" s="1139">
        <f>IF(('SICI(1)'!N9+'SICI(2)'!N9)&gt;0,1,0)</f>
        <v>0</v>
      </c>
      <c r="D203" s="1140"/>
      <c r="E203" s="1139" t="s">
        <v>673</v>
      </c>
      <c r="F203" s="1139">
        <f>IF(COUNTIF('Incongruenze 3, 12 e 13'!D13:D14,"OK")=2,0,1)</f>
        <v>0</v>
      </c>
      <c r="G203" s="1140"/>
    </row>
    <row r="204" spans="1:7" s="1141" customFormat="1" ht="13.5">
      <c r="A204" s="1138"/>
      <c r="B204" s="1139" t="s">
        <v>598</v>
      </c>
      <c r="C204" s="1139">
        <f>IF(('Tabella Riconciliazione'!$F$32)&gt;0,1,0)</f>
        <v>0</v>
      </c>
      <c r="D204" s="1140"/>
      <c r="E204" s="1139" t="s">
        <v>674</v>
      </c>
      <c r="F204" s="1139">
        <f>IF(COUNTIF('Incongruenze 3, 12 e 13'!D20,"OK")=1,0,1)</f>
        <v>0</v>
      </c>
      <c r="G204" s="1140"/>
    </row>
    <row r="205" spans="1:7" s="1141" customFormat="1" ht="13.5">
      <c r="A205" s="1138"/>
      <c r="B205" s="1140"/>
      <c r="C205" s="1140"/>
      <c r="D205" s="1140"/>
      <c r="E205" s="1139" t="s">
        <v>675</v>
      </c>
      <c r="F205" s="1139">
        <f>IF(COUNTIF('Incongruenza 14'!G6:G22,"ERRORE")=0,0,1)</f>
        <v>0</v>
      </c>
      <c r="G205" s="1140"/>
    </row>
    <row r="206" spans="1:7" s="1141" customFormat="1" ht="13.5">
      <c r="A206" s="1138"/>
      <c r="B206" s="1140"/>
      <c r="C206" s="1140"/>
      <c r="D206" s="1140"/>
      <c r="E206" s="1139" t="s">
        <v>676</v>
      </c>
      <c r="F206" s="1139">
        <f>IF(OR('t15(1)'!H11&lt;&gt;"OK",'t15(2)'!H11&lt;&gt;"ok",'t15(3)'!H11&lt;&gt;"ok"),1,0)</f>
        <v>0</v>
      </c>
      <c r="G206" s="1140"/>
    </row>
    <row r="207" spans="1:7" s="1141" customFormat="1" ht="13.5">
      <c r="A207" s="1138"/>
      <c r="B207" s="1140"/>
      <c r="C207" s="1140"/>
      <c r="D207" s="1140"/>
      <c r="E207" s="1139" t="s">
        <v>677</v>
      </c>
      <c r="F207" s="1139">
        <f>IF(OR('SICI(1)'!F6&lt;&gt;"OK",'SICI(2)'!F6&lt;&gt;"ok"),1,0)</f>
        <v>0</v>
      </c>
      <c r="G207" s="1140"/>
    </row>
    <row r="208" spans="1:7" s="1141" customFormat="1" ht="13.5">
      <c r="A208" s="1138"/>
      <c r="B208" s="1140"/>
      <c r="C208" s="1140"/>
      <c r="D208" s="1140"/>
      <c r="E208" s="1140"/>
      <c r="F208" s="1140"/>
      <c r="G208" s="1140"/>
    </row>
    <row r="209" spans="1:7" s="1141" customFormat="1" ht="13.5">
      <c r="A209" s="1138"/>
      <c r="B209" s="1140"/>
      <c r="C209" s="1140"/>
      <c r="D209" s="1140"/>
      <c r="E209" s="1140"/>
      <c r="F209" s="1140"/>
      <c r="G209" s="1140"/>
    </row>
    <row r="210" spans="1:7" s="513" customFormat="1" ht="13.5">
      <c r="A210" s="1138"/>
      <c r="B210" s="1140"/>
      <c r="C210" s="1140"/>
      <c r="D210" s="1140"/>
      <c r="E210" s="404"/>
      <c r="F210" s="404"/>
      <c r="G210" s="1140"/>
    </row>
    <row r="211" spans="1:7" s="513" customFormat="1" ht="13.5">
      <c r="A211" s="512"/>
      <c r="B211" s="404"/>
      <c r="C211" s="404"/>
      <c r="D211" s="404"/>
      <c r="E211" s="404"/>
      <c r="F211" s="404"/>
      <c r="G211" s="404"/>
    </row>
    <row r="212" spans="1:7" s="513" customFormat="1" ht="13.5">
      <c r="A212" s="512"/>
      <c r="B212" s="404"/>
      <c r="C212" s="404"/>
      <c r="D212" s="404"/>
      <c r="E212" s="404"/>
      <c r="F212" s="404"/>
      <c r="G212" s="404"/>
    </row>
    <row r="213" spans="1:7" s="513" customFormat="1" ht="13.5">
      <c r="A213" s="512"/>
      <c r="B213" s="404"/>
      <c r="C213" s="404"/>
      <c r="D213" s="404"/>
      <c r="E213" s="404"/>
      <c r="F213" s="404"/>
      <c r="G213" s="404"/>
    </row>
    <row r="214" spans="1:7" s="513" customFormat="1" ht="13.5">
      <c r="A214" s="512"/>
      <c r="B214" s="404"/>
      <c r="C214" s="404"/>
      <c r="D214" s="404"/>
      <c r="E214" s="404"/>
      <c r="F214" s="404"/>
      <c r="G214" s="404"/>
    </row>
    <row r="215" spans="1:7" s="513" customFormat="1" ht="13.5">
      <c r="A215" s="512"/>
      <c r="B215" s="404"/>
      <c r="C215" s="404"/>
      <c r="D215" s="404"/>
      <c r="E215" s="404"/>
      <c r="F215" s="404"/>
      <c r="G215" s="404"/>
    </row>
    <row r="216" spans="1:7" s="513" customFormat="1" ht="13.5">
      <c r="A216" s="512"/>
      <c r="B216" s="404"/>
      <c r="C216" s="404"/>
      <c r="D216" s="404"/>
      <c r="E216" s="404"/>
      <c r="F216" s="404"/>
      <c r="G216" s="404"/>
    </row>
    <row r="217" spans="1:7" s="513" customFormat="1" ht="13.5">
      <c r="A217" s="512"/>
      <c r="B217" s="404"/>
      <c r="C217" s="404"/>
      <c r="D217" s="404"/>
      <c r="E217" s="404"/>
      <c r="F217" s="404"/>
      <c r="G217" s="404"/>
    </row>
    <row r="218" spans="1:7" s="513" customFormat="1" ht="13.5">
      <c r="A218" s="512"/>
      <c r="B218" s="404"/>
      <c r="C218" s="404"/>
      <c r="D218" s="404"/>
      <c r="E218" s="404"/>
      <c r="F218" s="404"/>
      <c r="G218" s="404"/>
    </row>
    <row r="219" spans="1:7" s="513" customFormat="1" ht="13.5">
      <c r="A219" s="512"/>
      <c r="B219" s="404"/>
      <c r="C219" s="404"/>
      <c r="D219" s="404"/>
      <c r="E219" s="404"/>
      <c r="F219" s="404"/>
      <c r="G219" s="404"/>
    </row>
    <row r="220" spans="1:7" s="513" customFormat="1" ht="13.5">
      <c r="A220" s="512"/>
      <c r="B220" s="404"/>
      <c r="C220" s="404"/>
      <c r="D220" s="404"/>
      <c r="E220" s="404"/>
      <c r="F220" s="404"/>
      <c r="G220" s="404"/>
    </row>
    <row r="221" spans="1:7" s="513" customFormat="1" ht="13.5">
      <c r="A221" s="512"/>
      <c r="B221" s="404"/>
      <c r="C221" s="404"/>
      <c r="D221" s="404"/>
      <c r="E221" s="404"/>
      <c r="F221" s="404"/>
      <c r="G221" s="404"/>
    </row>
    <row r="222" spans="1:7" s="513" customFormat="1" ht="13.5">
      <c r="A222" s="512"/>
      <c r="B222" s="404"/>
      <c r="C222" s="404"/>
      <c r="D222" s="404"/>
      <c r="E222" s="404"/>
      <c r="F222" s="404"/>
      <c r="G222" s="404"/>
    </row>
    <row r="223" spans="1:7" s="513" customFormat="1" ht="13.5">
      <c r="A223" s="512"/>
      <c r="B223" s="404"/>
      <c r="C223" s="404"/>
      <c r="D223" s="404"/>
      <c r="E223" s="404"/>
      <c r="F223" s="404"/>
      <c r="G223" s="404"/>
    </row>
    <row r="224" spans="1:7" s="513" customFormat="1" ht="13.5">
      <c r="A224" s="512"/>
      <c r="B224" s="404"/>
      <c r="C224" s="404"/>
      <c r="D224" s="404"/>
      <c r="E224" s="404"/>
      <c r="F224" s="404"/>
      <c r="G224" s="404"/>
    </row>
    <row r="225" spans="1:7" s="513" customFormat="1" ht="13.5">
      <c r="A225" s="512"/>
      <c r="B225" s="404"/>
      <c r="C225" s="404"/>
      <c r="D225" s="404"/>
      <c r="E225" s="404"/>
      <c r="F225" s="404"/>
      <c r="G225" s="404"/>
    </row>
    <row r="226" spans="1:7" s="513" customFormat="1" ht="13.5">
      <c r="A226" s="512"/>
      <c r="B226" s="404"/>
      <c r="C226" s="404"/>
      <c r="D226" s="404"/>
      <c r="E226" s="404"/>
      <c r="F226" s="404"/>
      <c r="G226" s="404"/>
    </row>
    <row r="227" spans="1:7" s="513" customFormat="1" ht="13.5">
      <c r="A227" s="512"/>
      <c r="B227" s="404"/>
      <c r="C227" s="404"/>
      <c r="D227" s="404"/>
      <c r="E227" s="404"/>
      <c r="F227" s="404"/>
      <c r="G227" s="404"/>
    </row>
    <row r="228" spans="1:7" s="513" customFormat="1" ht="13.5">
      <c r="A228" s="512"/>
      <c r="B228" s="404"/>
      <c r="C228" s="404"/>
      <c r="D228" s="404"/>
      <c r="E228" s="404"/>
      <c r="F228" s="404"/>
      <c r="G228" s="404"/>
    </row>
    <row r="229" spans="1:7" s="513" customFormat="1" ht="13.5">
      <c r="A229" s="512"/>
      <c r="B229" s="404"/>
      <c r="C229" s="404"/>
      <c r="D229" s="404"/>
      <c r="E229" s="404"/>
      <c r="F229" s="404"/>
      <c r="G229" s="404"/>
    </row>
    <row r="230" spans="1:7" s="513" customFormat="1" ht="13.5">
      <c r="A230" s="512"/>
      <c r="B230" s="404"/>
      <c r="C230" s="404"/>
      <c r="D230" s="404"/>
      <c r="E230" s="404"/>
      <c r="F230" s="404"/>
      <c r="G230" s="404"/>
    </row>
    <row r="231" spans="1:7" s="513" customFormat="1" ht="13.5">
      <c r="A231" s="512"/>
      <c r="B231" s="404"/>
      <c r="C231" s="404"/>
      <c r="D231" s="404"/>
      <c r="E231" s="404"/>
      <c r="F231" s="404"/>
      <c r="G231" s="404"/>
    </row>
    <row r="232" spans="1:7" s="513" customFormat="1" ht="13.5">
      <c r="A232" s="512"/>
      <c r="B232" s="404"/>
      <c r="C232" s="404"/>
      <c r="D232" s="404"/>
      <c r="E232" s="404"/>
      <c r="F232" s="404"/>
      <c r="G232" s="404"/>
    </row>
    <row r="233" spans="1:7" s="513" customFormat="1" ht="13.5">
      <c r="A233" s="512"/>
      <c r="B233" s="404"/>
      <c r="C233" s="404"/>
      <c r="D233" s="404"/>
      <c r="E233" s="404"/>
      <c r="F233" s="404"/>
      <c r="G233" s="404"/>
    </row>
    <row r="234" spans="1:7" s="513" customFormat="1" ht="13.5">
      <c r="A234" s="512"/>
      <c r="B234" s="404"/>
      <c r="C234" s="404"/>
      <c r="D234" s="404"/>
      <c r="E234" s="404"/>
      <c r="F234" s="404"/>
      <c r="G234" s="404"/>
    </row>
    <row r="235" spans="1:7" s="513" customFormat="1" ht="13.5">
      <c r="A235" s="512"/>
      <c r="B235" s="404"/>
      <c r="C235" s="404"/>
      <c r="D235" s="404"/>
      <c r="E235" s="404"/>
      <c r="F235" s="404"/>
      <c r="G235" s="404"/>
    </row>
    <row r="236" spans="1:7" s="513" customFormat="1" ht="13.5">
      <c r="A236" s="512"/>
      <c r="B236" s="404"/>
      <c r="C236" s="404"/>
      <c r="D236" s="404"/>
      <c r="E236" s="404"/>
      <c r="F236" s="404"/>
      <c r="G236" s="404"/>
    </row>
    <row r="237" spans="1:7" s="513" customFormat="1" ht="13.5">
      <c r="A237" s="512"/>
      <c r="B237" s="404"/>
      <c r="C237" s="404"/>
      <c r="D237" s="404"/>
      <c r="E237" s="404"/>
      <c r="F237" s="404"/>
      <c r="G237" s="404"/>
    </row>
    <row r="238" spans="1:7" s="513" customFormat="1" ht="13.5">
      <c r="A238" s="512"/>
      <c r="B238" s="404"/>
      <c r="C238" s="404"/>
      <c r="D238" s="404"/>
      <c r="E238" s="404"/>
      <c r="F238" s="404"/>
      <c r="G238" s="404"/>
    </row>
    <row r="239" spans="1:7" s="513" customFormat="1" ht="13.5">
      <c r="A239" s="512"/>
      <c r="B239" s="404"/>
      <c r="C239" s="404"/>
      <c r="D239" s="404"/>
      <c r="E239" s="404"/>
      <c r="F239" s="404"/>
      <c r="G239" s="404"/>
    </row>
    <row r="240" spans="1:7" s="513" customFormat="1" ht="13.5">
      <c r="A240" s="512"/>
      <c r="B240" s="404"/>
      <c r="C240" s="404"/>
      <c r="D240" s="404"/>
      <c r="E240" s="404"/>
      <c r="F240" s="404"/>
      <c r="G240" s="404"/>
    </row>
    <row r="241" spans="1:7" s="513" customFormat="1" ht="13.5">
      <c r="A241" s="512"/>
      <c r="B241" s="404"/>
      <c r="C241" s="404"/>
      <c r="D241" s="404"/>
      <c r="E241" s="404"/>
      <c r="F241" s="404"/>
      <c r="G241" s="404"/>
    </row>
    <row r="242" spans="1:7" s="513" customFormat="1" ht="13.5">
      <c r="A242" s="512"/>
      <c r="B242" s="404"/>
      <c r="C242" s="404"/>
      <c r="D242" s="404"/>
      <c r="E242" s="404"/>
      <c r="F242" s="404"/>
      <c r="G242" s="404"/>
    </row>
    <row r="243" spans="1:7" s="513" customFormat="1" ht="13.5">
      <c r="A243" s="512"/>
      <c r="B243" s="404"/>
      <c r="C243" s="404"/>
      <c r="D243" s="404"/>
      <c r="E243" s="404"/>
      <c r="F243" s="404"/>
      <c r="G243" s="404"/>
    </row>
    <row r="244" spans="1:7" s="513" customFormat="1" ht="13.5">
      <c r="A244" s="512"/>
      <c r="B244" s="404"/>
      <c r="C244" s="404"/>
      <c r="D244" s="404"/>
      <c r="E244" s="404"/>
      <c r="F244" s="404"/>
      <c r="G244" s="404"/>
    </row>
    <row r="245" spans="1:7" s="513" customFormat="1" ht="13.5">
      <c r="A245" s="512"/>
      <c r="B245" s="404"/>
      <c r="C245" s="404"/>
      <c r="D245" s="404"/>
      <c r="E245" s="404"/>
      <c r="F245" s="404"/>
      <c r="G245" s="404"/>
    </row>
    <row r="246" spans="1:7" s="513" customFormat="1" ht="13.5">
      <c r="A246" s="512"/>
      <c r="B246" s="404"/>
      <c r="C246" s="404"/>
      <c r="D246" s="404"/>
      <c r="E246" s="404"/>
      <c r="F246" s="404"/>
      <c r="G246" s="404"/>
    </row>
    <row r="247" spans="1:7" s="513" customFormat="1" ht="13.5">
      <c r="A247" s="512"/>
      <c r="B247" s="404"/>
      <c r="C247" s="404"/>
      <c r="D247" s="404"/>
      <c r="E247" s="404"/>
      <c r="F247" s="404"/>
      <c r="G247" s="404"/>
    </row>
    <row r="248" spans="1:7" s="513" customFormat="1" ht="13.5">
      <c r="A248" s="512"/>
      <c r="B248" s="404"/>
      <c r="C248" s="404"/>
      <c r="D248" s="404"/>
      <c r="E248" s="404"/>
      <c r="F248" s="404"/>
      <c r="G248" s="404"/>
    </row>
    <row r="249" spans="1:7" s="513" customFormat="1" ht="13.5">
      <c r="A249" s="512"/>
      <c r="B249" s="404"/>
      <c r="C249" s="404"/>
      <c r="D249" s="404"/>
      <c r="E249" s="404"/>
      <c r="F249" s="404"/>
      <c r="G249" s="404"/>
    </row>
    <row r="250" spans="1:7" s="513" customFormat="1" ht="13.5">
      <c r="A250" s="512"/>
      <c r="B250" s="404"/>
      <c r="C250" s="404"/>
      <c r="D250" s="404"/>
      <c r="E250" s="404"/>
      <c r="F250" s="404"/>
      <c r="G250" s="404"/>
    </row>
    <row r="251" spans="1:7" s="513" customFormat="1" ht="13.5">
      <c r="A251" s="512"/>
      <c r="B251" s="404"/>
      <c r="C251" s="404"/>
      <c r="D251" s="404"/>
      <c r="E251" s="404"/>
      <c r="F251" s="404"/>
      <c r="G251" s="404"/>
    </row>
    <row r="252" spans="1:7" s="513" customFormat="1" ht="13.5">
      <c r="A252" s="512"/>
      <c r="B252" s="404"/>
      <c r="C252" s="404"/>
      <c r="D252" s="404"/>
      <c r="E252" s="404"/>
      <c r="F252" s="404"/>
      <c r="G252" s="404"/>
    </row>
    <row r="253" spans="1:7" s="513" customFormat="1" ht="13.5">
      <c r="A253" s="512"/>
      <c r="B253" s="404"/>
      <c r="C253" s="404"/>
      <c r="D253" s="404"/>
      <c r="E253" s="404"/>
      <c r="F253" s="404"/>
      <c r="G253" s="404"/>
    </row>
    <row r="254" spans="1:7" s="513" customFormat="1" ht="13.5">
      <c r="A254" s="512"/>
      <c r="B254" s="404"/>
      <c r="C254" s="404"/>
      <c r="D254" s="404"/>
      <c r="E254" s="404"/>
      <c r="F254" s="404"/>
      <c r="G254" s="404"/>
    </row>
    <row r="255" spans="1:7" s="513" customFormat="1" ht="13.5">
      <c r="A255" s="512"/>
      <c r="B255" s="404"/>
      <c r="C255" s="404"/>
      <c r="D255" s="404"/>
      <c r="E255" s="404"/>
      <c r="F255" s="404"/>
      <c r="G255" s="404"/>
    </row>
    <row r="256" spans="1:7" s="513" customFormat="1" ht="13.5">
      <c r="A256" s="512"/>
      <c r="B256" s="404"/>
      <c r="C256" s="404"/>
      <c r="D256" s="404"/>
      <c r="E256" s="404"/>
      <c r="F256" s="404"/>
      <c r="G256" s="404"/>
    </row>
    <row r="257" spans="1:7" s="513" customFormat="1" ht="13.5">
      <c r="A257" s="512"/>
      <c r="B257" s="404"/>
      <c r="C257" s="404"/>
      <c r="D257" s="404"/>
      <c r="E257" s="404"/>
      <c r="F257" s="404"/>
      <c r="G257" s="404"/>
    </row>
    <row r="258" spans="1:7" s="513" customFormat="1" ht="13.5">
      <c r="A258" s="512"/>
      <c r="B258" s="404"/>
      <c r="C258" s="404"/>
      <c r="D258" s="404"/>
      <c r="E258" s="404"/>
      <c r="F258" s="404"/>
      <c r="G258" s="404"/>
    </row>
    <row r="259" spans="1:7" s="513" customFormat="1" ht="13.5">
      <c r="A259" s="512"/>
      <c r="B259" s="404"/>
      <c r="C259" s="404"/>
      <c r="D259" s="404"/>
      <c r="E259" s="404"/>
      <c r="F259" s="404"/>
      <c r="G259" s="404"/>
    </row>
    <row r="260" spans="1:7" s="513" customFormat="1" ht="13.5">
      <c r="A260" s="512"/>
      <c r="B260" s="404"/>
      <c r="C260" s="404"/>
      <c r="D260" s="404"/>
      <c r="E260" s="404"/>
      <c r="F260" s="404"/>
      <c r="G260" s="404"/>
    </row>
    <row r="261" spans="1:7" s="513" customFormat="1" ht="13.5">
      <c r="A261" s="512"/>
      <c r="B261" s="404"/>
      <c r="C261" s="404"/>
      <c r="D261" s="404"/>
      <c r="E261" s="404"/>
      <c r="F261" s="404"/>
      <c r="G261" s="404"/>
    </row>
    <row r="262" spans="1:7" s="513" customFormat="1" ht="13.5">
      <c r="A262" s="512"/>
      <c r="B262" s="404"/>
      <c r="C262" s="404"/>
      <c r="D262" s="404"/>
      <c r="E262" s="404"/>
      <c r="F262" s="404"/>
      <c r="G262" s="404"/>
    </row>
    <row r="263" spans="1:7" s="513" customFormat="1" ht="13.5">
      <c r="A263" s="512"/>
      <c r="B263" s="404"/>
      <c r="C263" s="404"/>
      <c r="D263" s="404"/>
      <c r="E263" s="404"/>
      <c r="F263" s="404"/>
      <c r="G263" s="404"/>
    </row>
    <row r="264" spans="1:7" s="513" customFormat="1" ht="13.5">
      <c r="A264" s="512"/>
      <c r="B264" s="404"/>
      <c r="C264" s="404"/>
      <c r="D264" s="404"/>
      <c r="E264" s="404"/>
      <c r="F264" s="404"/>
      <c r="G264" s="404"/>
    </row>
    <row r="265" spans="1:7" s="513" customFormat="1" ht="13.5">
      <c r="A265" s="512"/>
      <c r="B265" s="404"/>
      <c r="C265" s="404"/>
      <c r="D265" s="404"/>
      <c r="E265" s="404"/>
      <c r="F265" s="404"/>
      <c r="G265" s="404"/>
    </row>
    <row r="266" spans="1:7" s="513" customFormat="1" ht="13.5">
      <c r="A266" s="512"/>
      <c r="B266" s="404"/>
      <c r="C266" s="404"/>
      <c r="D266" s="404"/>
      <c r="E266" s="404"/>
      <c r="F266" s="404"/>
      <c r="G266" s="404"/>
    </row>
    <row r="267" spans="1:7" s="513" customFormat="1" ht="13.5">
      <c r="A267" s="512"/>
      <c r="B267" s="404"/>
      <c r="C267" s="404"/>
      <c r="D267" s="404"/>
      <c r="E267" s="404"/>
      <c r="F267" s="404"/>
      <c r="G267" s="404"/>
    </row>
    <row r="268" spans="1:7" s="513" customFormat="1" ht="13.5">
      <c r="A268" s="512"/>
      <c r="B268" s="404"/>
      <c r="C268" s="404"/>
      <c r="D268" s="404"/>
      <c r="E268" s="404"/>
      <c r="F268" s="404"/>
      <c r="G268" s="404"/>
    </row>
    <row r="269" spans="1:7" s="513" customFormat="1" ht="13.5">
      <c r="A269" s="512"/>
      <c r="B269" s="404"/>
      <c r="C269" s="404"/>
      <c r="D269" s="404"/>
      <c r="E269" s="404"/>
      <c r="F269" s="404"/>
      <c r="G269" s="404"/>
    </row>
    <row r="270" spans="1:7" s="513" customFormat="1" ht="13.5">
      <c r="A270" s="512"/>
      <c r="B270" s="404"/>
      <c r="C270" s="404"/>
      <c r="D270" s="404"/>
      <c r="E270" s="404"/>
      <c r="F270" s="404"/>
      <c r="G270" s="404"/>
    </row>
    <row r="271" spans="1:7" s="513" customFormat="1" ht="13.5">
      <c r="A271" s="512"/>
      <c r="B271" s="404"/>
      <c r="C271" s="404"/>
      <c r="D271" s="404"/>
      <c r="E271" s="404"/>
      <c r="F271" s="404"/>
      <c r="G271" s="404"/>
    </row>
    <row r="272" spans="1:7" s="513" customFormat="1" ht="13.5">
      <c r="A272" s="512"/>
      <c r="B272" s="404"/>
      <c r="C272" s="404"/>
      <c r="D272" s="404"/>
      <c r="E272" s="404"/>
      <c r="F272" s="404"/>
      <c r="G272" s="404"/>
    </row>
    <row r="273" spans="1:7" s="513" customFormat="1" ht="13.5">
      <c r="A273" s="512"/>
      <c r="B273" s="404"/>
      <c r="C273" s="404"/>
      <c r="D273" s="404"/>
      <c r="E273" s="404"/>
      <c r="F273" s="404"/>
      <c r="G273" s="404"/>
    </row>
    <row r="274" spans="1:7" s="513" customFormat="1" ht="13.5">
      <c r="A274" s="512"/>
      <c r="B274" s="404"/>
      <c r="C274" s="404"/>
      <c r="D274" s="404"/>
      <c r="E274" s="404"/>
      <c r="F274" s="404"/>
      <c r="G274" s="404"/>
    </row>
    <row r="275" spans="1:7" s="513" customFormat="1" ht="13.5">
      <c r="A275" s="512"/>
      <c r="B275" s="404"/>
      <c r="C275" s="404"/>
      <c r="D275" s="404"/>
      <c r="E275" s="404"/>
      <c r="F275" s="404"/>
      <c r="G275" s="404"/>
    </row>
    <row r="276" spans="1:7" s="513" customFormat="1" ht="13.5">
      <c r="A276" s="512"/>
      <c r="B276" s="404"/>
      <c r="C276" s="404"/>
      <c r="D276" s="404"/>
      <c r="E276" s="404"/>
      <c r="F276" s="404"/>
      <c r="G276" s="404"/>
    </row>
    <row r="277" spans="1:7" s="513" customFormat="1" ht="13.5">
      <c r="A277" s="512"/>
      <c r="B277" s="404"/>
      <c r="C277" s="404"/>
      <c r="D277" s="404"/>
      <c r="E277" s="404"/>
      <c r="F277" s="404"/>
      <c r="G277" s="404"/>
    </row>
    <row r="278" spans="1:7" s="513" customFormat="1" ht="13.5">
      <c r="A278" s="512"/>
      <c r="B278" s="404"/>
      <c r="C278" s="404"/>
      <c r="D278" s="404"/>
      <c r="E278" s="404"/>
      <c r="F278" s="404"/>
      <c r="G278" s="404"/>
    </row>
    <row r="279" spans="1:7" s="513" customFormat="1" ht="13.5">
      <c r="A279" s="512"/>
      <c r="B279" s="404"/>
      <c r="C279" s="404"/>
      <c r="D279" s="404"/>
      <c r="E279" s="404"/>
      <c r="F279" s="404"/>
      <c r="G279" s="404"/>
    </row>
    <row r="280" spans="1:7" s="513" customFormat="1" ht="13.5">
      <c r="A280" s="512"/>
      <c r="B280" s="404"/>
      <c r="C280" s="404"/>
      <c r="D280" s="404"/>
      <c r="E280" s="404"/>
      <c r="F280" s="404"/>
      <c r="G280" s="404"/>
    </row>
    <row r="281" spans="1:7" s="513" customFormat="1" ht="13.5">
      <c r="A281" s="512"/>
      <c r="B281" s="404"/>
      <c r="C281" s="404"/>
      <c r="D281" s="404"/>
      <c r="E281" s="404"/>
      <c r="F281" s="404"/>
      <c r="G281" s="404"/>
    </row>
    <row r="282" spans="1:7" s="513" customFormat="1" ht="13.5">
      <c r="A282" s="512"/>
      <c r="B282" s="404"/>
      <c r="C282" s="404"/>
      <c r="D282" s="404"/>
      <c r="E282" s="404"/>
      <c r="F282" s="404"/>
      <c r="G282" s="404"/>
    </row>
    <row r="283" spans="1:7" s="513" customFormat="1" ht="13.5">
      <c r="A283" s="512"/>
      <c r="B283" s="404"/>
      <c r="C283" s="404"/>
      <c r="D283" s="404"/>
      <c r="E283" s="404"/>
      <c r="F283" s="404"/>
      <c r="G283" s="404"/>
    </row>
    <row r="284" spans="1:7" s="513" customFormat="1" ht="13.5">
      <c r="A284" s="512"/>
      <c r="B284" s="404"/>
      <c r="C284" s="404"/>
      <c r="D284" s="404"/>
      <c r="E284" s="404"/>
      <c r="F284" s="404"/>
      <c r="G284" s="404"/>
    </row>
    <row r="285" spans="1:7" s="513" customFormat="1" ht="13.5">
      <c r="A285" s="512"/>
      <c r="B285" s="404"/>
      <c r="C285" s="404"/>
      <c r="D285" s="404"/>
      <c r="E285" s="404"/>
      <c r="F285" s="404"/>
      <c r="G285" s="404"/>
    </row>
    <row r="286" spans="1:7" s="513" customFormat="1" ht="13.5">
      <c r="A286" s="512"/>
      <c r="B286" s="404"/>
      <c r="C286" s="404"/>
      <c r="D286" s="404"/>
      <c r="E286" s="404"/>
      <c r="F286" s="404"/>
      <c r="G286" s="404"/>
    </row>
    <row r="287" spans="1:7" s="513" customFormat="1" ht="13.5">
      <c r="A287" s="512"/>
      <c r="B287" s="404"/>
      <c r="C287" s="404"/>
      <c r="D287" s="404"/>
      <c r="E287" s="404"/>
      <c r="F287" s="404"/>
      <c r="G287" s="404"/>
    </row>
    <row r="288" spans="1:7" s="513" customFormat="1" ht="13.5">
      <c r="A288" s="512"/>
      <c r="B288" s="404"/>
      <c r="C288" s="404"/>
      <c r="D288" s="404"/>
      <c r="E288" s="404"/>
      <c r="F288" s="404"/>
      <c r="G288" s="404"/>
    </row>
    <row r="289" spans="1:7" s="513" customFormat="1" ht="13.5">
      <c r="A289" s="512"/>
      <c r="B289" s="404"/>
      <c r="C289" s="404"/>
      <c r="D289" s="404"/>
      <c r="E289" s="404"/>
      <c r="F289" s="404"/>
      <c r="G289" s="404"/>
    </row>
    <row r="290" spans="1:7" s="513" customFormat="1" ht="13.5">
      <c r="A290" s="512"/>
      <c r="B290" s="404"/>
      <c r="C290" s="404"/>
      <c r="D290" s="404"/>
      <c r="E290" s="404"/>
      <c r="F290" s="404"/>
      <c r="G290" s="404"/>
    </row>
    <row r="291" spans="1:7" s="513" customFormat="1" ht="13.5">
      <c r="A291" s="512"/>
      <c r="B291" s="404"/>
      <c r="C291" s="404"/>
      <c r="D291" s="404"/>
      <c r="E291" s="404"/>
      <c r="F291" s="404"/>
      <c r="G291" s="404"/>
    </row>
    <row r="292" spans="1:7" s="513" customFormat="1" ht="13.5">
      <c r="A292" s="512"/>
      <c r="B292" s="404"/>
      <c r="C292" s="404"/>
      <c r="D292" s="404"/>
      <c r="E292" s="404"/>
      <c r="F292" s="404"/>
      <c r="G292" s="404"/>
    </row>
    <row r="293" spans="1:7" s="513" customFormat="1" ht="13.5">
      <c r="A293" s="512"/>
      <c r="B293" s="404"/>
      <c r="C293" s="404"/>
      <c r="D293" s="404"/>
      <c r="E293" s="404"/>
      <c r="F293" s="404"/>
      <c r="G293" s="404"/>
    </row>
    <row r="294" spans="1:7" s="513" customFormat="1" ht="13.5">
      <c r="A294" s="512"/>
      <c r="B294" s="404"/>
      <c r="C294" s="404"/>
      <c r="D294" s="404"/>
      <c r="E294" s="404"/>
      <c r="F294" s="404"/>
      <c r="G294" s="404"/>
    </row>
    <row r="295" spans="1:7" s="513" customFormat="1" ht="13.5">
      <c r="A295" s="512"/>
      <c r="B295" s="404"/>
      <c r="C295" s="404"/>
      <c r="D295" s="404"/>
      <c r="E295" s="404"/>
      <c r="F295" s="404"/>
      <c r="G295" s="404"/>
    </row>
    <row r="296" spans="1:7" s="513" customFormat="1" ht="13.5">
      <c r="A296" s="512"/>
      <c r="B296" s="404"/>
      <c r="C296" s="404"/>
      <c r="D296" s="404"/>
      <c r="E296" s="404"/>
      <c r="F296" s="404"/>
      <c r="G296" s="404"/>
    </row>
    <row r="297" spans="1:7" s="513" customFormat="1" ht="13.5">
      <c r="A297" s="512"/>
      <c r="B297" s="404"/>
      <c r="C297" s="404"/>
      <c r="D297" s="404"/>
      <c r="E297" s="404"/>
      <c r="F297" s="404"/>
      <c r="G297" s="404"/>
    </row>
    <row r="298" spans="1:7" s="513" customFormat="1" ht="13.5">
      <c r="A298" s="512"/>
      <c r="B298" s="404"/>
      <c r="C298" s="404"/>
      <c r="D298" s="404"/>
      <c r="E298" s="404"/>
      <c r="F298" s="404"/>
      <c r="G298" s="404"/>
    </row>
    <row r="299" spans="1:7" s="513" customFormat="1" ht="13.5">
      <c r="A299" s="512"/>
      <c r="B299" s="404"/>
      <c r="C299" s="404"/>
      <c r="D299" s="404"/>
      <c r="E299" s="404"/>
      <c r="F299" s="404"/>
      <c r="G299" s="404"/>
    </row>
    <row r="300" spans="1:7" s="513" customFormat="1" ht="13.5">
      <c r="A300" s="512"/>
      <c r="B300" s="404"/>
      <c r="C300" s="404"/>
      <c r="D300" s="404"/>
      <c r="E300" s="404"/>
      <c r="F300" s="404"/>
      <c r="G300" s="404"/>
    </row>
    <row r="301" spans="1:7" s="513" customFormat="1" ht="13.5">
      <c r="A301" s="512"/>
      <c r="B301" s="404"/>
      <c r="C301" s="404"/>
      <c r="D301" s="404"/>
      <c r="E301" s="404"/>
      <c r="F301" s="404"/>
      <c r="G301" s="404"/>
    </row>
    <row r="302" spans="1:7" s="513" customFormat="1" ht="13.5">
      <c r="A302" s="512"/>
      <c r="B302" s="404"/>
      <c r="C302" s="404"/>
      <c r="D302" s="404"/>
      <c r="E302" s="404"/>
      <c r="F302" s="404"/>
      <c r="G302" s="404"/>
    </row>
    <row r="303" spans="1:7" s="513" customFormat="1" ht="13.5">
      <c r="A303" s="512"/>
      <c r="B303" s="404"/>
      <c r="C303" s="404"/>
      <c r="D303" s="404"/>
      <c r="E303" s="404"/>
      <c r="F303" s="404"/>
      <c r="G303" s="404"/>
    </row>
    <row r="304" spans="1:7" s="513" customFormat="1" ht="13.5">
      <c r="A304" s="512"/>
      <c r="B304" s="404"/>
      <c r="C304" s="404"/>
      <c r="D304" s="404"/>
      <c r="E304" s="404"/>
      <c r="F304" s="404"/>
      <c r="G304" s="404"/>
    </row>
    <row r="305" spans="1:7" s="513" customFormat="1" ht="13.5">
      <c r="A305" s="512"/>
      <c r="B305" s="404"/>
      <c r="C305" s="404"/>
      <c r="D305" s="404"/>
      <c r="E305" s="404"/>
      <c r="F305" s="404"/>
      <c r="G305" s="404"/>
    </row>
    <row r="306" spans="1:7" s="513" customFormat="1" ht="13.5">
      <c r="A306" s="512"/>
      <c r="B306" s="404"/>
      <c r="C306" s="404"/>
      <c r="D306" s="404"/>
      <c r="E306" s="404"/>
      <c r="F306" s="404"/>
      <c r="G306" s="404"/>
    </row>
    <row r="307" spans="1:7" s="513" customFormat="1" ht="13.5">
      <c r="A307" s="512"/>
      <c r="B307" s="404"/>
      <c r="C307" s="404"/>
      <c r="D307" s="404"/>
      <c r="E307" s="404"/>
      <c r="F307" s="404"/>
      <c r="G307" s="404"/>
    </row>
    <row r="308" spans="1:7" s="513" customFormat="1" ht="13.5">
      <c r="A308" s="512"/>
      <c r="B308" s="404"/>
      <c r="C308" s="404"/>
      <c r="D308" s="404"/>
      <c r="E308" s="404"/>
      <c r="F308" s="404"/>
      <c r="G308" s="404"/>
    </row>
    <row r="309" spans="1:7" s="513" customFormat="1" ht="13.5">
      <c r="A309" s="512"/>
      <c r="B309" s="404"/>
      <c r="C309" s="404"/>
      <c r="D309" s="404"/>
      <c r="E309" s="404"/>
      <c r="F309" s="404"/>
      <c r="G309" s="404"/>
    </row>
    <row r="310" spans="1:7" s="513" customFormat="1" ht="13.5">
      <c r="A310" s="512"/>
      <c r="B310" s="404"/>
      <c r="C310" s="404"/>
      <c r="D310" s="404"/>
      <c r="E310" s="404"/>
      <c r="F310" s="404"/>
      <c r="G310" s="404"/>
    </row>
    <row r="311" spans="1:7" s="513" customFormat="1" ht="13.5">
      <c r="A311" s="512"/>
      <c r="B311" s="404"/>
      <c r="C311" s="404"/>
      <c r="D311" s="404"/>
      <c r="E311" s="404"/>
      <c r="F311" s="404"/>
      <c r="G311" s="404"/>
    </row>
    <row r="312" spans="1:7" s="513" customFormat="1" ht="13.5">
      <c r="A312" s="512"/>
      <c r="B312" s="404"/>
      <c r="C312" s="404"/>
      <c r="D312" s="404"/>
      <c r="E312" s="404"/>
      <c r="F312" s="404"/>
      <c r="G312" s="404"/>
    </row>
    <row r="313" spans="1:7" s="513" customFormat="1" ht="13.5">
      <c r="A313" s="512"/>
      <c r="B313" s="404"/>
      <c r="C313" s="404"/>
      <c r="D313" s="404"/>
      <c r="E313" s="404"/>
      <c r="F313" s="404"/>
      <c r="G313" s="404"/>
    </row>
    <row r="314" spans="1:7" s="513" customFormat="1" ht="13.5">
      <c r="A314" s="512"/>
      <c r="B314" s="404"/>
      <c r="C314" s="404"/>
      <c r="D314" s="404"/>
      <c r="E314" s="404"/>
      <c r="F314" s="404"/>
      <c r="G314" s="404"/>
    </row>
    <row r="315" spans="1:7" s="513" customFormat="1" ht="13.5">
      <c r="A315" s="512"/>
      <c r="B315" s="404"/>
      <c r="C315" s="404"/>
      <c r="D315" s="404"/>
      <c r="E315" s="404"/>
      <c r="F315" s="404"/>
      <c r="G315" s="404"/>
    </row>
    <row r="316" spans="1:7" s="513" customFormat="1" ht="13.5">
      <c r="A316" s="512"/>
      <c r="B316" s="404"/>
      <c r="C316" s="404"/>
      <c r="D316" s="404"/>
      <c r="E316" s="404"/>
      <c r="F316" s="404"/>
      <c r="G316" s="404"/>
    </row>
    <row r="317" spans="1:7" s="513" customFormat="1" ht="13.5">
      <c r="A317" s="512"/>
      <c r="B317" s="404"/>
      <c r="C317" s="404"/>
      <c r="D317" s="404"/>
      <c r="E317" s="404"/>
      <c r="F317" s="404"/>
      <c r="G317" s="404"/>
    </row>
    <row r="318" spans="1:7" s="513" customFormat="1" ht="13.5">
      <c r="A318" s="512"/>
      <c r="B318" s="404"/>
      <c r="C318" s="404"/>
      <c r="D318" s="404"/>
      <c r="E318" s="404"/>
      <c r="F318" s="404"/>
      <c r="G318" s="404"/>
    </row>
    <row r="319" spans="1:7" s="513" customFormat="1" ht="13.5">
      <c r="A319" s="512"/>
      <c r="B319" s="404"/>
      <c r="C319" s="404"/>
      <c r="D319" s="404"/>
      <c r="E319" s="404"/>
      <c r="F319" s="404"/>
      <c r="G319" s="404"/>
    </row>
    <row r="320" spans="1:7" s="513" customFormat="1" ht="13.5">
      <c r="A320" s="512"/>
      <c r="B320" s="404"/>
      <c r="C320" s="404"/>
      <c r="D320" s="404"/>
      <c r="E320" s="404"/>
      <c r="F320" s="404"/>
      <c r="G320" s="404"/>
    </row>
    <row r="321" spans="1:7" s="513" customFormat="1" ht="13.5">
      <c r="A321" s="512"/>
      <c r="B321" s="404"/>
      <c r="C321" s="404"/>
      <c r="D321" s="404"/>
      <c r="E321" s="404"/>
      <c r="F321" s="404"/>
      <c r="G321" s="404"/>
    </row>
    <row r="322" spans="1:7" s="513" customFormat="1" ht="13.5">
      <c r="A322" s="512"/>
      <c r="B322" s="404"/>
      <c r="C322" s="404"/>
      <c r="D322" s="404"/>
      <c r="E322" s="404"/>
      <c r="F322" s="404"/>
      <c r="G322" s="404"/>
    </row>
    <row r="323" spans="1:7" s="513" customFormat="1" ht="13.5">
      <c r="A323" s="512"/>
      <c r="B323" s="404"/>
      <c r="C323" s="404"/>
      <c r="D323" s="404"/>
      <c r="E323" s="404"/>
      <c r="F323" s="404"/>
      <c r="G323" s="404"/>
    </row>
    <row r="324" spans="1:7" s="513" customFormat="1" ht="13.5">
      <c r="A324" s="512"/>
      <c r="B324" s="404"/>
      <c r="C324" s="404"/>
      <c r="D324" s="404"/>
      <c r="E324" s="404"/>
      <c r="F324" s="404"/>
      <c r="G324" s="404"/>
    </row>
    <row r="325" spans="1:7" s="513" customFormat="1" ht="13.5">
      <c r="A325" s="512"/>
      <c r="B325" s="404"/>
      <c r="C325" s="404"/>
      <c r="D325" s="404"/>
      <c r="E325" s="404"/>
      <c r="F325" s="404"/>
      <c r="G325" s="404"/>
    </row>
    <row r="326" spans="1:7" s="513" customFormat="1" ht="13.5">
      <c r="A326" s="512"/>
      <c r="B326" s="404"/>
      <c r="C326" s="404"/>
      <c r="D326" s="404"/>
      <c r="E326" s="404"/>
      <c r="F326" s="404"/>
      <c r="G326" s="404"/>
    </row>
    <row r="327" spans="1:7" s="513" customFormat="1" ht="13.5">
      <c r="A327" s="512"/>
      <c r="B327" s="404"/>
      <c r="C327" s="404"/>
      <c r="D327" s="404"/>
      <c r="E327" s="404"/>
      <c r="F327" s="404"/>
      <c r="G327" s="404"/>
    </row>
    <row r="328" spans="1:7" s="513" customFormat="1" ht="13.5">
      <c r="A328" s="512"/>
      <c r="B328" s="404"/>
      <c r="C328" s="404"/>
      <c r="D328" s="404"/>
      <c r="E328" s="404"/>
      <c r="F328" s="404"/>
      <c r="G328" s="404"/>
    </row>
    <row r="329" spans="1:7" s="513" customFormat="1" ht="13.5">
      <c r="A329" s="512"/>
      <c r="B329" s="404"/>
      <c r="C329" s="404"/>
      <c r="D329" s="404"/>
      <c r="E329" s="404"/>
      <c r="F329" s="404"/>
      <c r="G329" s="404"/>
    </row>
    <row r="330" ht="13.5">
      <c r="G330" s="404"/>
    </row>
    <row r="331" ht="13.5">
      <c r="G331" s="404"/>
    </row>
  </sheetData>
  <sheetProtection password="EA98" sheet="1" formatColumns="0" selectLockedCells="1"/>
  <mergeCells count="77">
    <mergeCell ref="B169:F169"/>
    <mergeCell ref="B151:F151"/>
    <mergeCell ref="B154:F154"/>
    <mergeCell ref="B157:F157"/>
    <mergeCell ref="B160:F160"/>
    <mergeCell ref="B163:F163"/>
    <mergeCell ref="B166:F166"/>
    <mergeCell ref="B133:F133"/>
    <mergeCell ref="B136:F136"/>
    <mergeCell ref="B139:F139"/>
    <mergeCell ref="B142:F142"/>
    <mergeCell ref="B145:F145"/>
    <mergeCell ref="B148:F148"/>
    <mergeCell ref="B115:F115"/>
    <mergeCell ref="B118:F118"/>
    <mergeCell ref="B121:F121"/>
    <mergeCell ref="B124:F124"/>
    <mergeCell ref="B127:F127"/>
    <mergeCell ref="B130:F130"/>
    <mergeCell ref="B36:G36"/>
    <mergeCell ref="B39:C39"/>
    <mergeCell ref="B33:C33"/>
    <mergeCell ref="B34:C34"/>
    <mergeCell ref="D23:E23"/>
    <mergeCell ref="F24:G24"/>
    <mergeCell ref="B25:C25"/>
    <mergeCell ref="B24:C24"/>
    <mergeCell ref="D24:E24"/>
    <mergeCell ref="F26:G26"/>
    <mergeCell ref="B30:G30"/>
    <mergeCell ref="F19:G19"/>
    <mergeCell ref="B22:C22"/>
    <mergeCell ref="D22:E22"/>
    <mergeCell ref="D19:E19"/>
    <mergeCell ref="F22:G22"/>
    <mergeCell ref="D15:G15"/>
    <mergeCell ref="B19:C19"/>
    <mergeCell ref="B23:C23"/>
    <mergeCell ref="B16:G16"/>
    <mergeCell ref="D26:E26"/>
    <mergeCell ref="F25:G25"/>
    <mergeCell ref="D25:E25"/>
    <mergeCell ref="B26:C26"/>
    <mergeCell ref="B185:G185"/>
    <mergeCell ref="B48:E48"/>
    <mergeCell ref="B41:G41"/>
    <mergeCell ref="B46:E46"/>
    <mergeCell ref="B50:E50"/>
    <mergeCell ref="B182:G182"/>
    <mergeCell ref="B180:G180"/>
    <mergeCell ref="B174:G174"/>
    <mergeCell ref="B175:G179"/>
    <mergeCell ref="B112:F112"/>
    <mergeCell ref="B44:E44"/>
    <mergeCell ref="C2:F2"/>
    <mergeCell ref="E8:G8"/>
    <mergeCell ref="E9:G9"/>
    <mergeCell ref="E10:G10"/>
    <mergeCell ref="C3:F3"/>
    <mergeCell ref="B6:G6"/>
    <mergeCell ref="E11:G11"/>
    <mergeCell ref="E12:G12"/>
    <mergeCell ref="F23:G23"/>
    <mergeCell ref="B53:F53"/>
    <mergeCell ref="B56:F56"/>
    <mergeCell ref="B59:F59"/>
    <mergeCell ref="B62:F62"/>
    <mergeCell ref="B82:F82"/>
    <mergeCell ref="B85:F85"/>
    <mergeCell ref="B106:F106"/>
    <mergeCell ref="B109:F109"/>
    <mergeCell ref="B88:F88"/>
    <mergeCell ref="B91:F91"/>
    <mergeCell ref="B94:F94"/>
    <mergeCell ref="B97:F97"/>
    <mergeCell ref="B100:F100"/>
    <mergeCell ref="B103:F103"/>
  </mergeCells>
  <dataValidations count="1">
    <dataValidation type="whole" allowBlank="1" showInputMessage="1" showErrorMessage="1" errorTitle="ATTENZIONE" error="INSERIRE SOLO VALORI NUMERICI INTERI" sqref="G88 G85 G106 G103 G56 G97 G82 G53 G62 G59 G100 G94 G91 G112 G154 G109 G124 G151 G115 G145 G130 G133 G136 G139 G142 G118 G121 G148 G169 G157 G160 G163 G166 G127">
      <formula1>0</formula1>
      <formula2>999999999999</formula2>
    </dataValidation>
  </dataValidations>
  <printOptions horizontalCentered="1"/>
  <pageMargins left="0.4" right="0.39" top="0.38" bottom="0.23" header="0.15748031496062992" footer="0.15748031496062992"/>
  <pageSetup fitToHeight="2" fitToWidth="1" horizontalDpi="600" verticalDpi="600" orientation="portrait" paperSize="9" scale="66" r:id="rId2"/>
  <drawing r:id="rId1"/>
</worksheet>
</file>

<file path=xl/worksheets/sheet10.xml><?xml version="1.0" encoding="utf-8"?>
<worksheet xmlns="http://schemas.openxmlformats.org/spreadsheetml/2006/main" xmlns:r="http://schemas.openxmlformats.org/officeDocument/2006/relationships">
  <sheetPr codeName="Foglio14"/>
  <dimension ref="A1:Y25"/>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C6" sqref="C6"/>
    </sheetView>
  </sheetViews>
  <sheetFormatPr defaultColWidth="10.66015625" defaultRowHeight="10.5"/>
  <cols>
    <col min="1" max="1" width="37.5" style="61" customWidth="1"/>
    <col min="2" max="2" width="10.5" style="63" customWidth="1"/>
    <col min="3" max="22" width="8.33203125" style="61" customWidth="1"/>
    <col min="23" max="23" width="10" style="61" customWidth="1"/>
    <col min="24" max="24" width="10.66015625" style="61" customWidth="1"/>
    <col min="25" max="25" width="0" style="61" hidden="1" customWidth="1"/>
    <col min="26" max="16384" width="10.66015625" style="61" customWidth="1"/>
  </cols>
  <sheetData>
    <row r="1" spans="1:24" s="5" customFormat="1" ht="43.5" customHeight="1">
      <c r="A1" s="1349" t="str">
        <f>'t1'!A1</f>
        <v>CNEL - anno 2018</v>
      </c>
      <c r="B1" s="1349"/>
      <c r="C1" s="1349"/>
      <c r="D1" s="1349"/>
      <c r="E1" s="1349"/>
      <c r="F1" s="1349"/>
      <c r="G1" s="1349"/>
      <c r="H1" s="1349"/>
      <c r="I1" s="1349"/>
      <c r="J1" s="1349"/>
      <c r="K1" s="1349"/>
      <c r="L1" s="1349"/>
      <c r="M1" s="1349"/>
      <c r="N1" s="1349"/>
      <c r="O1" s="1349"/>
      <c r="P1" s="1349"/>
      <c r="Q1" s="1349"/>
      <c r="R1" s="1349"/>
      <c r="S1" s="1349"/>
      <c r="T1" s="1349"/>
      <c r="U1" s="1349"/>
      <c r="V1" s="1349"/>
      <c r="X1" s="318"/>
    </row>
    <row r="2" spans="1:24" ht="30" customHeight="1" thickBot="1">
      <c r="A2" s="62"/>
      <c r="P2" s="1350"/>
      <c r="Q2" s="1350"/>
      <c r="R2" s="1350"/>
      <c r="S2" s="1350"/>
      <c r="T2" s="1350"/>
      <c r="U2" s="1350"/>
      <c r="V2" s="1350"/>
      <c r="W2" s="1350"/>
      <c r="X2" s="1350"/>
    </row>
    <row r="3" spans="1:24" ht="16.5" customHeight="1" thickBot="1">
      <c r="A3" s="64"/>
      <c r="B3" s="65"/>
      <c r="C3" s="66" t="s">
        <v>255</v>
      </c>
      <c r="D3" s="67"/>
      <c r="E3" s="67"/>
      <c r="F3" s="67"/>
      <c r="G3" s="67"/>
      <c r="H3" s="67"/>
      <c r="I3" s="67"/>
      <c r="J3" s="67"/>
      <c r="K3" s="67"/>
      <c r="L3" s="67"/>
      <c r="M3" s="67"/>
      <c r="N3" s="67"/>
      <c r="O3" s="67"/>
      <c r="P3" s="67"/>
      <c r="Q3" s="67"/>
      <c r="R3" s="67"/>
      <c r="S3" s="67"/>
      <c r="T3" s="68"/>
      <c r="U3" s="67"/>
      <c r="V3" s="68"/>
      <c r="W3" s="67"/>
      <c r="X3" s="68"/>
    </row>
    <row r="4" spans="1:24" ht="16.5" customHeight="1" thickTop="1">
      <c r="A4" s="286" t="s">
        <v>154</v>
      </c>
      <c r="B4" s="69" t="s">
        <v>74</v>
      </c>
      <c r="C4" s="1379" t="s">
        <v>94</v>
      </c>
      <c r="D4" s="1380"/>
      <c r="E4" s="1379" t="s">
        <v>95</v>
      </c>
      <c r="F4" s="1380"/>
      <c r="G4" s="1379" t="s">
        <v>96</v>
      </c>
      <c r="H4" s="1380"/>
      <c r="I4" s="1379" t="s">
        <v>97</v>
      </c>
      <c r="J4" s="1380"/>
      <c r="K4" s="1379" t="s">
        <v>98</v>
      </c>
      <c r="L4" s="1380"/>
      <c r="M4" s="1379" t="s">
        <v>99</v>
      </c>
      <c r="N4" s="1380"/>
      <c r="O4" s="1379" t="s">
        <v>100</v>
      </c>
      <c r="P4" s="1380"/>
      <c r="Q4" s="1379" t="s">
        <v>101</v>
      </c>
      <c r="R4" s="1380"/>
      <c r="S4" s="1379" t="s">
        <v>404</v>
      </c>
      <c r="T4" s="1380"/>
      <c r="U4" s="1379" t="s">
        <v>405</v>
      </c>
      <c r="V4" s="1380"/>
      <c r="W4" s="70" t="s">
        <v>77</v>
      </c>
      <c r="X4" s="142"/>
    </row>
    <row r="5" spans="1:24" ht="10.5" thickBot="1">
      <c r="A5" s="893" t="s">
        <v>645</v>
      </c>
      <c r="B5" s="71"/>
      <c r="C5" s="72" t="s">
        <v>92</v>
      </c>
      <c r="D5" s="73" t="s">
        <v>93</v>
      </c>
      <c r="E5" s="72" t="s">
        <v>92</v>
      </c>
      <c r="F5" s="73" t="s">
        <v>93</v>
      </c>
      <c r="G5" s="72" t="s">
        <v>92</v>
      </c>
      <c r="H5" s="73" t="s">
        <v>93</v>
      </c>
      <c r="I5" s="72" t="s">
        <v>92</v>
      </c>
      <c r="J5" s="73" t="s">
        <v>93</v>
      </c>
      <c r="K5" s="72" t="s">
        <v>92</v>
      </c>
      <c r="L5" s="73" t="s">
        <v>93</v>
      </c>
      <c r="M5" s="72" t="s">
        <v>92</v>
      </c>
      <c r="N5" s="73" t="s">
        <v>93</v>
      </c>
      <c r="O5" s="72" t="s">
        <v>92</v>
      </c>
      <c r="P5" s="73" t="s">
        <v>93</v>
      </c>
      <c r="Q5" s="72" t="s">
        <v>92</v>
      </c>
      <c r="R5" s="73" t="s">
        <v>93</v>
      </c>
      <c r="S5" s="72" t="s">
        <v>92</v>
      </c>
      <c r="T5" s="74" t="s">
        <v>93</v>
      </c>
      <c r="U5" s="72" t="s">
        <v>92</v>
      </c>
      <c r="V5" s="74" t="s">
        <v>93</v>
      </c>
      <c r="W5" s="72" t="s">
        <v>92</v>
      </c>
      <c r="X5" s="74" t="s">
        <v>93</v>
      </c>
    </row>
    <row r="6" spans="1:25" ht="12.75" customHeight="1" thickTop="1">
      <c r="A6" s="25" t="str">
        <f>'t1'!A6</f>
        <v>DIRIGENTE I FASCIA</v>
      </c>
      <c r="B6" s="237" t="str">
        <f>'t1'!B6</f>
        <v>0D0077</v>
      </c>
      <c r="C6" s="241"/>
      <c r="D6" s="242"/>
      <c r="E6" s="241"/>
      <c r="F6" s="242"/>
      <c r="G6" s="241"/>
      <c r="H6" s="242"/>
      <c r="I6" s="241"/>
      <c r="J6" s="242"/>
      <c r="K6" s="241"/>
      <c r="L6" s="242"/>
      <c r="M6" s="243"/>
      <c r="N6" s="244"/>
      <c r="O6" s="241"/>
      <c r="P6" s="242"/>
      <c r="Q6" s="241"/>
      <c r="R6" s="242"/>
      <c r="S6" s="245"/>
      <c r="T6" s="246"/>
      <c r="U6" s="245"/>
      <c r="V6" s="246"/>
      <c r="W6" s="458">
        <f>SUM(C6,E6,G6,I6,K6,M6,O6,Q6,S6,U6)</f>
        <v>0</v>
      </c>
      <c r="X6" s="459">
        <f>SUM(D6,F6,H6,J6,L6,N6,P6,R6,T6,V6)</f>
        <v>0</v>
      </c>
      <c r="Y6" s="61">
        <f>'t1'!M6</f>
        <v>0</v>
      </c>
    </row>
    <row r="7" spans="1:25" ht="12.75" customHeight="1">
      <c r="A7" s="158" t="str">
        <f>'t1'!A7</f>
        <v>DIRIGENTE I FASCIA A TEMPO DETERM.</v>
      </c>
      <c r="B7" s="230" t="str">
        <f>'t1'!B7</f>
        <v>0D0078</v>
      </c>
      <c r="C7" s="241"/>
      <c r="D7" s="242"/>
      <c r="E7" s="241"/>
      <c r="F7" s="242"/>
      <c r="G7" s="241"/>
      <c r="H7" s="242"/>
      <c r="I7" s="241"/>
      <c r="J7" s="242"/>
      <c r="K7" s="241"/>
      <c r="L7" s="242"/>
      <c r="M7" s="243"/>
      <c r="N7" s="244"/>
      <c r="O7" s="241"/>
      <c r="P7" s="242"/>
      <c r="Q7" s="241"/>
      <c r="R7" s="242"/>
      <c r="S7" s="245"/>
      <c r="T7" s="247"/>
      <c r="U7" s="245"/>
      <c r="V7" s="247"/>
      <c r="W7" s="458">
        <f aca="true" t="shared" si="0" ref="W7:W22">SUM(C7,E7,G7,I7,K7,M7,O7,Q7,S7,U7)</f>
        <v>0</v>
      </c>
      <c r="X7" s="460">
        <f aca="true" t="shared" si="1" ref="X7:X22">SUM(D7,F7,H7,J7,L7,N7,P7,R7,T7,V7)</f>
        <v>0</v>
      </c>
      <c r="Y7" s="61">
        <f>'t1'!M7</f>
        <v>0</v>
      </c>
    </row>
    <row r="8" spans="1:25" ht="12.75" customHeight="1">
      <c r="A8" s="158" t="str">
        <f>'t1'!A8</f>
        <v>DIRIGENTE II FASCIA</v>
      </c>
      <c r="B8" s="230" t="str">
        <f>'t1'!B8</f>
        <v>0D0079</v>
      </c>
      <c r="C8" s="241"/>
      <c r="D8" s="242"/>
      <c r="E8" s="241"/>
      <c r="F8" s="242"/>
      <c r="G8" s="241"/>
      <c r="H8" s="242"/>
      <c r="I8" s="241"/>
      <c r="J8" s="242"/>
      <c r="K8" s="241"/>
      <c r="L8" s="242"/>
      <c r="M8" s="243"/>
      <c r="N8" s="244"/>
      <c r="O8" s="241"/>
      <c r="P8" s="242"/>
      <c r="Q8" s="241"/>
      <c r="R8" s="242"/>
      <c r="S8" s="245"/>
      <c r="T8" s="247"/>
      <c r="U8" s="245"/>
      <c r="V8" s="247"/>
      <c r="W8" s="458">
        <f t="shared" si="0"/>
        <v>0</v>
      </c>
      <c r="X8" s="460">
        <f t="shared" si="1"/>
        <v>0</v>
      </c>
      <c r="Y8" s="61">
        <f>'t1'!M8</f>
        <v>0</v>
      </c>
    </row>
    <row r="9" spans="1:25" ht="12.75" customHeight="1">
      <c r="A9" s="158" t="str">
        <f>'t1'!A9</f>
        <v>DIRIGENTE II FASCIA A TEMPO DETERM.</v>
      </c>
      <c r="B9" s="230" t="str">
        <f>'t1'!B9</f>
        <v>0D0080</v>
      </c>
      <c r="C9" s="241"/>
      <c r="D9" s="242"/>
      <c r="E9" s="241"/>
      <c r="F9" s="242"/>
      <c r="G9" s="241"/>
      <c r="H9" s="242"/>
      <c r="I9" s="241"/>
      <c r="J9" s="242"/>
      <c r="K9" s="241"/>
      <c r="L9" s="242"/>
      <c r="M9" s="243"/>
      <c r="N9" s="244"/>
      <c r="O9" s="241"/>
      <c r="P9" s="242"/>
      <c r="Q9" s="241"/>
      <c r="R9" s="242"/>
      <c r="S9" s="245"/>
      <c r="T9" s="247"/>
      <c r="U9" s="245"/>
      <c r="V9" s="247"/>
      <c r="W9" s="458">
        <f t="shared" si="0"/>
        <v>0</v>
      </c>
      <c r="X9" s="460">
        <f t="shared" si="1"/>
        <v>0</v>
      </c>
      <c r="Y9" s="61">
        <f>'t1'!M9</f>
        <v>0</v>
      </c>
    </row>
    <row r="10" spans="1:25" ht="12.75" customHeight="1">
      <c r="A10" s="158" t="str">
        <f>'t1'!A10</f>
        <v>POSIZIONE ECONOMICA C5</v>
      </c>
      <c r="B10" s="230" t="str">
        <f>'t1'!B10</f>
        <v>046000</v>
      </c>
      <c r="C10" s="241"/>
      <c r="D10" s="242"/>
      <c r="E10" s="241"/>
      <c r="F10" s="242"/>
      <c r="G10" s="241"/>
      <c r="H10" s="242"/>
      <c r="I10" s="241"/>
      <c r="J10" s="242"/>
      <c r="K10" s="241"/>
      <c r="L10" s="242"/>
      <c r="M10" s="243"/>
      <c r="N10" s="244"/>
      <c r="O10" s="241"/>
      <c r="P10" s="242"/>
      <c r="Q10" s="241"/>
      <c r="R10" s="242"/>
      <c r="S10" s="245"/>
      <c r="T10" s="247"/>
      <c r="U10" s="245"/>
      <c r="V10" s="247"/>
      <c r="W10" s="458">
        <f t="shared" si="0"/>
        <v>0</v>
      </c>
      <c r="X10" s="460">
        <f t="shared" si="1"/>
        <v>0</v>
      </c>
      <c r="Y10" s="61">
        <f>'t1'!M10</f>
        <v>0</v>
      </c>
    </row>
    <row r="11" spans="1:25" ht="12.75" customHeight="1">
      <c r="A11" s="158" t="str">
        <f>'t1'!A11</f>
        <v>POSIZIONE ECONOMICA C4</v>
      </c>
      <c r="B11" s="230" t="str">
        <f>'t1'!B11</f>
        <v>045000</v>
      </c>
      <c r="C11" s="241"/>
      <c r="D11" s="242"/>
      <c r="E11" s="241"/>
      <c r="F11" s="242"/>
      <c r="G11" s="241"/>
      <c r="H11" s="242"/>
      <c r="I11" s="241"/>
      <c r="J11" s="242"/>
      <c r="K11" s="241"/>
      <c r="L11" s="242"/>
      <c r="M11" s="243"/>
      <c r="N11" s="244"/>
      <c r="O11" s="241"/>
      <c r="P11" s="242"/>
      <c r="Q11" s="241"/>
      <c r="R11" s="242"/>
      <c r="S11" s="245"/>
      <c r="T11" s="247"/>
      <c r="U11" s="245"/>
      <c r="V11" s="247"/>
      <c r="W11" s="458">
        <f t="shared" si="0"/>
        <v>0</v>
      </c>
      <c r="X11" s="460">
        <f t="shared" si="1"/>
        <v>0</v>
      </c>
      <c r="Y11" s="61">
        <f>'t1'!M11</f>
        <v>0</v>
      </c>
    </row>
    <row r="12" spans="1:25" ht="12.75" customHeight="1">
      <c r="A12" s="158" t="str">
        <f>'t1'!A12</f>
        <v>POSIZIONE ECONOMICA C3</v>
      </c>
      <c r="B12" s="230" t="str">
        <f>'t1'!B12</f>
        <v>043000</v>
      </c>
      <c r="C12" s="241"/>
      <c r="D12" s="242"/>
      <c r="E12" s="241"/>
      <c r="F12" s="242"/>
      <c r="G12" s="241"/>
      <c r="H12" s="242"/>
      <c r="I12" s="241"/>
      <c r="J12" s="242"/>
      <c r="K12" s="241"/>
      <c r="L12" s="242"/>
      <c r="M12" s="243"/>
      <c r="N12" s="244"/>
      <c r="O12" s="241"/>
      <c r="P12" s="242"/>
      <c r="Q12" s="241"/>
      <c r="R12" s="242"/>
      <c r="S12" s="245"/>
      <c r="T12" s="247"/>
      <c r="U12" s="245"/>
      <c r="V12" s="247"/>
      <c r="W12" s="458">
        <f t="shared" si="0"/>
        <v>0</v>
      </c>
      <c r="X12" s="460">
        <f t="shared" si="1"/>
        <v>0</v>
      </c>
      <c r="Y12" s="61">
        <f>'t1'!M12</f>
        <v>0</v>
      </c>
    </row>
    <row r="13" spans="1:25" ht="12.75" customHeight="1">
      <c r="A13" s="158" t="str">
        <f>'t1'!A13</f>
        <v>POSIZIONE ECONOMICA C2</v>
      </c>
      <c r="B13" s="230" t="str">
        <f>'t1'!B13</f>
        <v>042000</v>
      </c>
      <c r="C13" s="241"/>
      <c r="D13" s="242"/>
      <c r="E13" s="241"/>
      <c r="F13" s="242"/>
      <c r="G13" s="241"/>
      <c r="H13" s="242"/>
      <c r="I13" s="241"/>
      <c r="J13" s="242"/>
      <c r="K13" s="241"/>
      <c r="L13" s="242"/>
      <c r="M13" s="243"/>
      <c r="N13" s="244"/>
      <c r="O13" s="241"/>
      <c r="P13" s="242"/>
      <c r="Q13" s="241"/>
      <c r="R13" s="242"/>
      <c r="S13" s="245"/>
      <c r="T13" s="247"/>
      <c r="U13" s="245"/>
      <c r="V13" s="247"/>
      <c r="W13" s="458">
        <f t="shared" si="0"/>
        <v>0</v>
      </c>
      <c r="X13" s="460">
        <f t="shared" si="1"/>
        <v>0</v>
      </c>
      <c r="Y13" s="61">
        <f>'t1'!M13</f>
        <v>0</v>
      </c>
    </row>
    <row r="14" spans="1:25" ht="12.75" customHeight="1">
      <c r="A14" s="158" t="str">
        <f>'t1'!A14</f>
        <v>POSIZIONE ECONOMICA C1</v>
      </c>
      <c r="B14" s="230" t="str">
        <f>'t1'!B14</f>
        <v>040000</v>
      </c>
      <c r="C14" s="241"/>
      <c r="D14" s="242"/>
      <c r="E14" s="241"/>
      <c r="F14" s="242"/>
      <c r="G14" s="241"/>
      <c r="H14" s="242"/>
      <c r="I14" s="241"/>
      <c r="J14" s="242"/>
      <c r="K14" s="241"/>
      <c r="L14" s="242"/>
      <c r="M14" s="243"/>
      <c r="N14" s="244"/>
      <c r="O14" s="241"/>
      <c r="P14" s="242"/>
      <c r="Q14" s="241"/>
      <c r="R14" s="242"/>
      <c r="S14" s="245"/>
      <c r="T14" s="247"/>
      <c r="U14" s="245"/>
      <c r="V14" s="247"/>
      <c r="W14" s="458">
        <f t="shared" si="0"/>
        <v>0</v>
      </c>
      <c r="X14" s="460">
        <f t="shared" si="1"/>
        <v>0</v>
      </c>
      <c r="Y14" s="61">
        <f>'t1'!M14</f>
        <v>0</v>
      </c>
    </row>
    <row r="15" spans="1:25" ht="12.75" customHeight="1">
      <c r="A15" s="158" t="str">
        <f>'t1'!A15</f>
        <v>POSIZIONE ECONOMICA B4</v>
      </c>
      <c r="B15" s="230" t="str">
        <f>'t1'!B15</f>
        <v>036000</v>
      </c>
      <c r="C15" s="241"/>
      <c r="D15" s="242"/>
      <c r="E15" s="241"/>
      <c r="F15" s="242"/>
      <c r="G15" s="241"/>
      <c r="H15" s="242"/>
      <c r="I15" s="241"/>
      <c r="J15" s="242"/>
      <c r="K15" s="241"/>
      <c r="L15" s="242"/>
      <c r="M15" s="243"/>
      <c r="N15" s="244"/>
      <c r="O15" s="241"/>
      <c r="P15" s="242"/>
      <c r="Q15" s="241"/>
      <c r="R15" s="242"/>
      <c r="S15" s="245"/>
      <c r="T15" s="247"/>
      <c r="U15" s="245"/>
      <c r="V15" s="247"/>
      <c r="W15" s="458">
        <f t="shared" si="0"/>
        <v>0</v>
      </c>
      <c r="X15" s="460">
        <f t="shared" si="1"/>
        <v>0</v>
      </c>
      <c r="Y15" s="61">
        <f>'t1'!M15</f>
        <v>0</v>
      </c>
    </row>
    <row r="16" spans="1:25" ht="12.75" customHeight="1">
      <c r="A16" s="158" t="str">
        <f>'t1'!A16</f>
        <v>POSIZIONE ECONOMICA B3</v>
      </c>
      <c r="B16" s="230" t="str">
        <f>'t1'!B16</f>
        <v>034000</v>
      </c>
      <c r="C16" s="241"/>
      <c r="D16" s="242"/>
      <c r="E16" s="241"/>
      <c r="F16" s="242"/>
      <c r="G16" s="241"/>
      <c r="H16" s="242"/>
      <c r="I16" s="241"/>
      <c r="J16" s="242"/>
      <c r="K16" s="241"/>
      <c r="L16" s="242"/>
      <c r="M16" s="243"/>
      <c r="N16" s="244"/>
      <c r="O16" s="241"/>
      <c r="P16" s="242"/>
      <c r="Q16" s="241"/>
      <c r="R16" s="242"/>
      <c r="S16" s="245"/>
      <c r="T16" s="247"/>
      <c r="U16" s="245"/>
      <c r="V16" s="247"/>
      <c r="W16" s="458">
        <f t="shared" si="0"/>
        <v>0</v>
      </c>
      <c r="X16" s="460">
        <f t="shared" si="1"/>
        <v>0</v>
      </c>
      <c r="Y16" s="61">
        <f>'t1'!M16</f>
        <v>0</v>
      </c>
    </row>
    <row r="17" spans="1:25" ht="12.75" customHeight="1">
      <c r="A17" s="158" t="str">
        <f>'t1'!A17</f>
        <v>POSIZIONE ECONOMICA B2</v>
      </c>
      <c r="B17" s="230" t="str">
        <f>'t1'!B17</f>
        <v>032000</v>
      </c>
      <c r="C17" s="241"/>
      <c r="D17" s="242"/>
      <c r="E17" s="241"/>
      <c r="F17" s="242"/>
      <c r="G17" s="241"/>
      <c r="H17" s="242"/>
      <c r="I17" s="241"/>
      <c r="J17" s="242"/>
      <c r="K17" s="241"/>
      <c r="L17" s="242"/>
      <c r="M17" s="243"/>
      <c r="N17" s="244"/>
      <c r="O17" s="241"/>
      <c r="P17" s="242"/>
      <c r="Q17" s="241"/>
      <c r="R17" s="242"/>
      <c r="S17" s="245"/>
      <c r="T17" s="247"/>
      <c r="U17" s="245"/>
      <c r="V17" s="247"/>
      <c r="W17" s="458">
        <f t="shared" si="0"/>
        <v>0</v>
      </c>
      <c r="X17" s="460">
        <f t="shared" si="1"/>
        <v>0</v>
      </c>
      <c r="Y17" s="61">
        <f>'t1'!M17</f>
        <v>0</v>
      </c>
    </row>
    <row r="18" spans="1:25" ht="12.75" customHeight="1">
      <c r="A18" s="158" t="str">
        <f>'t1'!A18</f>
        <v>POSIZIONE ECONOMICA B1</v>
      </c>
      <c r="B18" s="230" t="str">
        <f>'t1'!B18</f>
        <v>030000</v>
      </c>
      <c r="C18" s="241"/>
      <c r="D18" s="242"/>
      <c r="E18" s="241"/>
      <c r="F18" s="242"/>
      <c r="G18" s="241"/>
      <c r="H18" s="242"/>
      <c r="I18" s="241"/>
      <c r="J18" s="242"/>
      <c r="K18" s="241"/>
      <c r="L18" s="242"/>
      <c r="M18" s="243"/>
      <c r="N18" s="244"/>
      <c r="O18" s="241"/>
      <c r="P18" s="242"/>
      <c r="Q18" s="241"/>
      <c r="R18" s="242"/>
      <c r="S18" s="245"/>
      <c r="T18" s="247"/>
      <c r="U18" s="245"/>
      <c r="V18" s="247"/>
      <c r="W18" s="458">
        <f t="shared" si="0"/>
        <v>0</v>
      </c>
      <c r="X18" s="460">
        <f t="shared" si="1"/>
        <v>0</v>
      </c>
      <c r="Y18" s="61">
        <f>'t1'!M18</f>
        <v>0</v>
      </c>
    </row>
    <row r="19" spans="1:25" ht="12.75" customHeight="1">
      <c r="A19" s="158" t="str">
        <f>'t1'!A19</f>
        <v>POSIZIONE ECONOMICA A3</v>
      </c>
      <c r="B19" s="230" t="str">
        <f>'t1'!B19</f>
        <v>027000</v>
      </c>
      <c r="C19" s="241"/>
      <c r="D19" s="242"/>
      <c r="E19" s="241"/>
      <c r="F19" s="242"/>
      <c r="G19" s="241"/>
      <c r="H19" s="242"/>
      <c r="I19" s="241"/>
      <c r="J19" s="242"/>
      <c r="K19" s="241"/>
      <c r="L19" s="242"/>
      <c r="M19" s="243"/>
      <c r="N19" s="244"/>
      <c r="O19" s="241"/>
      <c r="P19" s="242"/>
      <c r="Q19" s="241"/>
      <c r="R19" s="242"/>
      <c r="S19" s="245"/>
      <c r="T19" s="247"/>
      <c r="U19" s="245"/>
      <c r="V19" s="247"/>
      <c r="W19" s="458">
        <f t="shared" si="0"/>
        <v>0</v>
      </c>
      <c r="X19" s="460">
        <f t="shared" si="1"/>
        <v>0</v>
      </c>
      <c r="Y19" s="61">
        <f>'t1'!M19</f>
        <v>0</v>
      </c>
    </row>
    <row r="20" spans="1:25" ht="12.75" customHeight="1">
      <c r="A20" s="158" t="str">
        <f>'t1'!A20</f>
        <v>POSIZIONE ECONOMICA A2</v>
      </c>
      <c r="B20" s="230" t="str">
        <f>'t1'!B20</f>
        <v>025000</v>
      </c>
      <c r="C20" s="241"/>
      <c r="D20" s="242"/>
      <c r="E20" s="241"/>
      <c r="F20" s="242"/>
      <c r="G20" s="241"/>
      <c r="H20" s="242"/>
      <c r="I20" s="241"/>
      <c r="J20" s="242"/>
      <c r="K20" s="241"/>
      <c r="L20" s="242"/>
      <c r="M20" s="243"/>
      <c r="N20" s="244"/>
      <c r="O20" s="241"/>
      <c r="P20" s="242"/>
      <c r="Q20" s="241"/>
      <c r="R20" s="242"/>
      <c r="S20" s="245"/>
      <c r="T20" s="247"/>
      <c r="U20" s="245"/>
      <c r="V20" s="247"/>
      <c r="W20" s="458">
        <f t="shared" si="0"/>
        <v>0</v>
      </c>
      <c r="X20" s="460">
        <f t="shared" si="1"/>
        <v>0</v>
      </c>
      <c r="Y20" s="61">
        <f>'t1'!M20</f>
        <v>0</v>
      </c>
    </row>
    <row r="21" spans="1:25" ht="12.75" customHeight="1">
      <c r="A21" s="158" t="str">
        <f>'t1'!A21</f>
        <v>POSIZIONE ECONOMICA A1</v>
      </c>
      <c r="B21" s="230" t="str">
        <f>'t1'!B21</f>
        <v>023000</v>
      </c>
      <c r="C21" s="241"/>
      <c r="D21" s="242"/>
      <c r="E21" s="241"/>
      <c r="F21" s="242"/>
      <c r="G21" s="241"/>
      <c r="H21" s="242"/>
      <c r="I21" s="241"/>
      <c r="J21" s="242"/>
      <c r="K21" s="241"/>
      <c r="L21" s="242"/>
      <c r="M21" s="243"/>
      <c r="N21" s="244"/>
      <c r="O21" s="241"/>
      <c r="P21" s="242"/>
      <c r="Q21" s="241"/>
      <c r="R21" s="242"/>
      <c r="S21" s="245"/>
      <c r="T21" s="247"/>
      <c r="U21" s="245"/>
      <c r="V21" s="247"/>
      <c r="W21" s="458">
        <f t="shared" si="0"/>
        <v>0</v>
      </c>
      <c r="X21" s="460">
        <f t="shared" si="1"/>
        <v>0</v>
      </c>
      <c r="Y21" s="61">
        <f>'t1'!M21</f>
        <v>0</v>
      </c>
    </row>
    <row r="22" spans="1:25" ht="12.75" customHeight="1" thickBot="1">
      <c r="A22" s="158" t="str">
        <f>'t1'!A22</f>
        <v>CONTRATTISTI (a)</v>
      </c>
      <c r="B22" s="230" t="str">
        <f>'t1'!B22</f>
        <v>000061</v>
      </c>
      <c r="C22" s="241"/>
      <c r="D22" s="242"/>
      <c r="E22" s="241"/>
      <c r="F22" s="242"/>
      <c r="G22" s="241"/>
      <c r="H22" s="242"/>
      <c r="I22" s="241"/>
      <c r="J22" s="242"/>
      <c r="K22" s="241"/>
      <c r="L22" s="242"/>
      <c r="M22" s="243"/>
      <c r="N22" s="244"/>
      <c r="O22" s="241"/>
      <c r="P22" s="242"/>
      <c r="Q22" s="241"/>
      <c r="R22" s="242"/>
      <c r="S22" s="245"/>
      <c r="T22" s="247"/>
      <c r="U22" s="245"/>
      <c r="V22" s="247"/>
      <c r="W22" s="458">
        <f t="shared" si="0"/>
        <v>0</v>
      </c>
      <c r="X22" s="460">
        <f t="shared" si="1"/>
        <v>0</v>
      </c>
      <c r="Y22" s="61">
        <f>'t1'!M22</f>
        <v>0</v>
      </c>
    </row>
    <row r="23" spans="1:24" ht="17.25" customHeight="1" thickBot="1" thickTop="1">
      <c r="A23" s="75" t="s">
        <v>77</v>
      </c>
      <c r="B23" s="76"/>
      <c r="C23" s="455">
        <f aca="true" t="shared" si="2" ref="C23:X23">SUM(C6:C22)</f>
        <v>0</v>
      </c>
      <c r="D23" s="456">
        <f t="shared" si="2"/>
        <v>0</v>
      </c>
      <c r="E23" s="455">
        <f t="shared" si="2"/>
        <v>0</v>
      </c>
      <c r="F23" s="456">
        <f t="shared" si="2"/>
        <v>0</v>
      </c>
      <c r="G23" s="455">
        <f t="shared" si="2"/>
        <v>0</v>
      </c>
      <c r="H23" s="456">
        <f t="shared" si="2"/>
        <v>0</v>
      </c>
      <c r="I23" s="455">
        <f t="shared" si="2"/>
        <v>0</v>
      </c>
      <c r="J23" s="456">
        <f t="shared" si="2"/>
        <v>0</v>
      </c>
      <c r="K23" s="455">
        <f t="shared" si="2"/>
        <v>0</v>
      </c>
      <c r="L23" s="456">
        <f t="shared" si="2"/>
        <v>0</v>
      </c>
      <c r="M23" s="455">
        <f t="shared" si="2"/>
        <v>0</v>
      </c>
      <c r="N23" s="456">
        <f t="shared" si="2"/>
        <v>0</v>
      </c>
      <c r="O23" s="455">
        <f t="shared" si="2"/>
        <v>0</v>
      </c>
      <c r="P23" s="456">
        <f t="shared" si="2"/>
        <v>0</v>
      </c>
      <c r="Q23" s="455">
        <f t="shared" si="2"/>
        <v>0</v>
      </c>
      <c r="R23" s="456">
        <f t="shared" si="2"/>
        <v>0</v>
      </c>
      <c r="S23" s="455">
        <f t="shared" si="2"/>
        <v>0</v>
      </c>
      <c r="T23" s="456">
        <f t="shared" si="2"/>
        <v>0</v>
      </c>
      <c r="U23" s="455">
        <f t="shared" si="2"/>
        <v>0</v>
      </c>
      <c r="V23" s="456">
        <f t="shared" si="2"/>
        <v>0</v>
      </c>
      <c r="W23" s="455">
        <f t="shared" si="2"/>
        <v>0</v>
      </c>
      <c r="X23" s="457">
        <f t="shared" si="2"/>
        <v>0</v>
      </c>
    </row>
    <row r="24" spans="1:11" s="46" customFormat="1" ht="19.5" customHeight="1">
      <c r="A24" s="26" t="str">
        <f>'t1'!$A$24</f>
        <v>(a) personale a tempo indeterminato al quale viene applicato un contratto di lavoro di tipo privatistico (es.:tipografico,chimico,edile,metalmeccanico,portierato, ecc.)</v>
      </c>
      <c r="B24" s="7"/>
      <c r="C24" s="5"/>
      <c r="D24" s="5"/>
      <c r="E24" s="5"/>
      <c r="F24" s="5"/>
      <c r="G24" s="5"/>
      <c r="H24" s="5"/>
      <c r="I24" s="5"/>
      <c r="J24" s="5"/>
      <c r="K24" s="81"/>
    </row>
    <row r="25" spans="1:2" s="5" customFormat="1" ht="9.75">
      <c r="A25" s="26"/>
      <c r="B25" s="7"/>
    </row>
  </sheetData>
  <sheetProtection password="EA98" sheet="1" formatColumns="0" selectLockedCells="1"/>
  <mergeCells count="12">
    <mergeCell ref="A1:V1"/>
    <mergeCell ref="C4:D4"/>
    <mergeCell ref="E4:F4"/>
    <mergeCell ref="G4:H4"/>
    <mergeCell ref="I4:J4"/>
    <mergeCell ref="P2:X2"/>
    <mergeCell ref="U4:V4"/>
    <mergeCell ref="K4:L4"/>
    <mergeCell ref="S4:T4"/>
    <mergeCell ref="M4:N4"/>
    <mergeCell ref="O4:P4"/>
    <mergeCell ref="Q4:R4"/>
  </mergeCells>
  <conditionalFormatting sqref="A6:X22">
    <cfRule type="expression" priority="1" dxfId="3" stopIfTrue="1">
      <formula>$Y6&gt;0</formula>
    </cfRule>
  </conditionalFormatting>
  <printOptions horizontalCentered="1" verticalCentered="1"/>
  <pageMargins left="0" right="0" top="0.1968503937007874" bottom="0.15748031496062992" header="0.1968503937007874" footer="0.1968503937007874"/>
  <pageSetup horizontalDpi="600" verticalDpi="600" orientation="landscape" paperSize="9" scale="70" r:id="rId2"/>
  <drawing r:id="rId1"/>
</worksheet>
</file>

<file path=xl/worksheets/sheet11.xml><?xml version="1.0" encoding="utf-8"?>
<worksheet xmlns="http://schemas.openxmlformats.org/spreadsheetml/2006/main" xmlns:r="http://schemas.openxmlformats.org/officeDocument/2006/relationships">
  <sheetPr codeName="Foglio15"/>
  <dimension ref="A1:AC26"/>
  <sheetViews>
    <sheetView showGridLines="0" zoomScale="85" zoomScaleNormal="85"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C6" sqref="C6"/>
    </sheetView>
  </sheetViews>
  <sheetFormatPr defaultColWidth="10.66015625" defaultRowHeight="10.5"/>
  <cols>
    <col min="1" max="1" width="46.83203125" style="46" customWidth="1"/>
    <col min="2" max="2" width="8.16015625" style="48" bestFit="1" customWidth="1"/>
    <col min="3" max="4" width="6.66015625" style="46" customWidth="1"/>
    <col min="5" max="24" width="8" style="46" customWidth="1"/>
    <col min="25" max="26" width="6.5" style="46" customWidth="1"/>
    <col min="27" max="28" width="8.16015625" style="46" customWidth="1"/>
    <col min="29" max="29" width="0" style="46" hidden="1" customWidth="1"/>
    <col min="30" max="16384" width="10.66015625" style="46" customWidth="1"/>
  </cols>
  <sheetData>
    <row r="1" spans="1:28" s="5" customFormat="1" ht="43.5" customHeight="1">
      <c r="A1" s="1349" t="str">
        <f>'t1'!A1</f>
        <v>CNEL - anno 2018</v>
      </c>
      <c r="B1" s="1349"/>
      <c r="C1" s="1349"/>
      <c r="D1" s="1349"/>
      <c r="E1" s="1349"/>
      <c r="F1" s="1349"/>
      <c r="G1" s="1349"/>
      <c r="H1" s="1349"/>
      <c r="I1" s="1349"/>
      <c r="J1" s="1349"/>
      <c r="K1" s="1349"/>
      <c r="L1" s="1349"/>
      <c r="M1" s="1349"/>
      <c r="N1" s="1349"/>
      <c r="O1" s="1349"/>
      <c r="P1" s="1349"/>
      <c r="Q1" s="1349"/>
      <c r="R1" s="1349"/>
      <c r="S1" s="1349"/>
      <c r="T1" s="1349"/>
      <c r="U1" s="1349"/>
      <c r="V1" s="1349"/>
      <c r="W1" s="1349"/>
      <c r="X1" s="1349"/>
      <c r="Y1" s="1349"/>
      <c r="AB1" s="318"/>
    </row>
    <row r="2" spans="1:28" ht="30" customHeight="1" thickBot="1">
      <c r="A2" s="47"/>
      <c r="S2" s="1350"/>
      <c r="T2" s="1350"/>
      <c r="U2" s="1350"/>
      <c r="V2" s="1350"/>
      <c r="W2" s="1350"/>
      <c r="X2" s="1350"/>
      <c r="Y2" s="1350"/>
      <c r="Z2" s="1350"/>
      <c r="AA2" s="1350"/>
      <c r="AB2" s="1350"/>
    </row>
    <row r="3" spans="1:28" ht="16.5" customHeight="1" thickBot="1">
      <c r="A3" s="49"/>
      <c r="B3" s="50"/>
      <c r="C3" s="51" t="s">
        <v>256</v>
      </c>
      <c r="D3" s="52"/>
      <c r="E3" s="52"/>
      <c r="F3" s="52"/>
      <c r="G3" s="52"/>
      <c r="H3" s="52"/>
      <c r="I3" s="52"/>
      <c r="J3" s="52"/>
      <c r="K3" s="52"/>
      <c r="L3" s="52"/>
      <c r="M3" s="52"/>
      <c r="N3" s="52"/>
      <c r="O3" s="52"/>
      <c r="P3" s="52"/>
      <c r="Q3" s="52"/>
      <c r="R3" s="52"/>
      <c r="S3" s="52"/>
      <c r="T3" s="52"/>
      <c r="U3" s="52"/>
      <c r="V3" s="52"/>
      <c r="W3" s="52"/>
      <c r="X3" s="53"/>
      <c r="Y3" s="52"/>
      <c r="Z3" s="53"/>
      <c r="AA3" s="52"/>
      <c r="AB3" s="53"/>
    </row>
    <row r="4" spans="1:28" ht="16.5" customHeight="1" thickTop="1">
      <c r="A4" s="285" t="s">
        <v>147</v>
      </c>
      <c r="B4" s="54" t="s">
        <v>74</v>
      </c>
      <c r="C4" s="1381" t="s">
        <v>181</v>
      </c>
      <c r="D4" s="1383"/>
      <c r="E4" s="170" t="s">
        <v>182</v>
      </c>
      <c r="F4" s="169"/>
      <c r="G4" s="1381" t="s">
        <v>84</v>
      </c>
      <c r="H4" s="1383"/>
      <c r="I4" s="1381" t="s">
        <v>85</v>
      </c>
      <c r="J4" s="1383"/>
      <c r="K4" s="1381" t="s">
        <v>86</v>
      </c>
      <c r="L4" s="1383"/>
      <c r="M4" s="1381" t="s">
        <v>87</v>
      </c>
      <c r="N4" s="1383"/>
      <c r="O4" s="1381" t="s">
        <v>88</v>
      </c>
      <c r="P4" s="1383"/>
      <c r="Q4" s="1381" t="s">
        <v>89</v>
      </c>
      <c r="R4" s="1383"/>
      <c r="S4" s="1381" t="s">
        <v>90</v>
      </c>
      <c r="T4" s="1383"/>
      <c r="U4" s="1381" t="s">
        <v>91</v>
      </c>
      <c r="V4" s="1383"/>
      <c r="W4" s="1381" t="s">
        <v>406</v>
      </c>
      <c r="X4" s="1383"/>
      <c r="Y4" s="1381" t="s">
        <v>407</v>
      </c>
      <c r="Z4" s="1382"/>
      <c r="AA4" s="1381" t="s">
        <v>77</v>
      </c>
      <c r="AB4" s="1382"/>
    </row>
    <row r="5" spans="1:28" ht="10.5" thickBot="1">
      <c r="A5" s="894" t="s">
        <v>645</v>
      </c>
      <c r="B5" s="55"/>
      <c r="C5" s="56" t="s">
        <v>92</v>
      </c>
      <c r="D5" s="57" t="s">
        <v>93</v>
      </c>
      <c r="E5" s="56" t="s">
        <v>92</v>
      </c>
      <c r="F5" s="57" t="s">
        <v>93</v>
      </c>
      <c r="G5" s="56" t="s">
        <v>92</v>
      </c>
      <c r="H5" s="57" t="s">
        <v>93</v>
      </c>
      <c r="I5" s="56" t="s">
        <v>92</v>
      </c>
      <c r="J5" s="57" t="s">
        <v>93</v>
      </c>
      <c r="K5" s="56" t="s">
        <v>92</v>
      </c>
      <c r="L5" s="57" t="s">
        <v>93</v>
      </c>
      <c r="M5" s="56" t="s">
        <v>92</v>
      </c>
      <c r="N5" s="57" t="s">
        <v>93</v>
      </c>
      <c r="O5" s="56" t="s">
        <v>92</v>
      </c>
      <c r="P5" s="57" t="s">
        <v>93</v>
      </c>
      <c r="Q5" s="56" t="s">
        <v>92</v>
      </c>
      <c r="R5" s="57" t="s">
        <v>93</v>
      </c>
      <c r="S5" s="56" t="s">
        <v>92</v>
      </c>
      <c r="T5" s="57" t="s">
        <v>93</v>
      </c>
      <c r="U5" s="56" t="s">
        <v>92</v>
      </c>
      <c r="V5" s="57" t="s">
        <v>93</v>
      </c>
      <c r="W5" s="56" t="s">
        <v>92</v>
      </c>
      <c r="X5" s="58" t="s">
        <v>93</v>
      </c>
      <c r="Y5" s="56" t="s">
        <v>92</v>
      </c>
      <c r="Z5" s="58" t="s">
        <v>93</v>
      </c>
      <c r="AA5" s="56" t="s">
        <v>92</v>
      </c>
      <c r="AB5" s="58" t="s">
        <v>93</v>
      </c>
    </row>
    <row r="6" spans="1:29" ht="13.5" customHeight="1" thickTop="1">
      <c r="A6" s="25" t="str">
        <f>'t1'!A6</f>
        <v>DIRIGENTE I FASCIA</v>
      </c>
      <c r="B6" s="237" t="str">
        <f>'t1'!B6</f>
        <v>0D0077</v>
      </c>
      <c r="C6" s="261"/>
      <c r="D6" s="262"/>
      <c r="E6" s="263"/>
      <c r="F6" s="262"/>
      <c r="G6" s="261"/>
      <c r="H6" s="262"/>
      <c r="I6" s="261"/>
      <c r="J6" s="262"/>
      <c r="K6" s="261"/>
      <c r="L6" s="262"/>
      <c r="M6" s="261"/>
      <c r="N6" s="262"/>
      <c r="O6" s="263"/>
      <c r="P6" s="264"/>
      <c r="Q6" s="261"/>
      <c r="R6" s="262"/>
      <c r="S6" s="261"/>
      <c r="T6" s="262"/>
      <c r="U6" s="261"/>
      <c r="V6" s="262"/>
      <c r="W6" s="265"/>
      <c r="X6" s="266"/>
      <c r="Y6" s="265"/>
      <c r="Z6" s="266"/>
      <c r="AA6" s="461">
        <f>SUM(C6,E6,G6,I6,K6,M6,O6,Q6,S6,U6,W6,Y6)</f>
        <v>0</v>
      </c>
      <c r="AB6" s="462">
        <f>SUM(D6,F6,H6,J6,L6,N6,P6,R6,T6,V6,X6,Z6)</f>
        <v>0</v>
      </c>
      <c r="AC6" s="46">
        <f>'t1'!M6</f>
        <v>0</v>
      </c>
    </row>
    <row r="7" spans="1:29" ht="13.5" customHeight="1">
      <c r="A7" s="158" t="str">
        <f>'t1'!A7</f>
        <v>DIRIGENTE I FASCIA A TEMPO DETERM.</v>
      </c>
      <c r="B7" s="230" t="str">
        <f>'t1'!B7</f>
        <v>0D0078</v>
      </c>
      <c r="C7" s="261"/>
      <c r="D7" s="262"/>
      <c r="E7" s="263"/>
      <c r="F7" s="262"/>
      <c r="G7" s="261"/>
      <c r="H7" s="262"/>
      <c r="I7" s="261"/>
      <c r="J7" s="262"/>
      <c r="K7" s="261"/>
      <c r="L7" s="262"/>
      <c r="M7" s="261"/>
      <c r="N7" s="262"/>
      <c r="O7" s="263"/>
      <c r="P7" s="264"/>
      <c r="Q7" s="261"/>
      <c r="R7" s="262"/>
      <c r="S7" s="261"/>
      <c r="T7" s="262"/>
      <c r="U7" s="261"/>
      <c r="V7" s="262"/>
      <c r="W7" s="265"/>
      <c r="X7" s="262"/>
      <c r="Y7" s="265"/>
      <c r="Z7" s="262"/>
      <c r="AA7" s="463">
        <f aca="true" t="shared" si="0" ref="AA7:AA22">SUM(C7,E7,G7,I7,K7,M7,O7,Q7,S7,U7,W7,Y7)</f>
        <v>0</v>
      </c>
      <c r="AB7" s="464">
        <f aca="true" t="shared" si="1" ref="AB7:AB22">SUM(D7,F7,H7,J7,L7,N7,P7,R7,T7,V7,X7,Z7)</f>
        <v>0</v>
      </c>
      <c r="AC7" s="46">
        <f>'t1'!M7</f>
        <v>0</v>
      </c>
    </row>
    <row r="8" spans="1:29" ht="13.5" customHeight="1">
      <c r="A8" s="158" t="str">
        <f>'t1'!A8</f>
        <v>DIRIGENTE II FASCIA</v>
      </c>
      <c r="B8" s="230" t="str">
        <f>'t1'!B8</f>
        <v>0D0079</v>
      </c>
      <c r="C8" s="261"/>
      <c r="D8" s="262"/>
      <c r="E8" s="263"/>
      <c r="F8" s="262"/>
      <c r="G8" s="261"/>
      <c r="H8" s="262"/>
      <c r="I8" s="261"/>
      <c r="J8" s="262"/>
      <c r="K8" s="261"/>
      <c r="L8" s="262"/>
      <c r="M8" s="261"/>
      <c r="N8" s="262"/>
      <c r="O8" s="263"/>
      <c r="P8" s="264"/>
      <c r="Q8" s="261"/>
      <c r="R8" s="262"/>
      <c r="S8" s="261"/>
      <c r="T8" s="262"/>
      <c r="U8" s="261"/>
      <c r="V8" s="262"/>
      <c r="W8" s="265"/>
      <c r="X8" s="262"/>
      <c r="Y8" s="265"/>
      <c r="Z8" s="262"/>
      <c r="AA8" s="463">
        <f t="shared" si="0"/>
        <v>0</v>
      </c>
      <c r="AB8" s="464">
        <f t="shared" si="1"/>
        <v>0</v>
      </c>
      <c r="AC8" s="46">
        <f>'t1'!M8</f>
        <v>0</v>
      </c>
    </row>
    <row r="9" spans="1:29" ht="13.5" customHeight="1">
      <c r="A9" s="158" t="str">
        <f>'t1'!A9</f>
        <v>DIRIGENTE II FASCIA A TEMPO DETERM.</v>
      </c>
      <c r="B9" s="230" t="str">
        <f>'t1'!B9</f>
        <v>0D0080</v>
      </c>
      <c r="C9" s="261"/>
      <c r="D9" s="262"/>
      <c r="E9" s="263"/>
      <c r="F9" s="262"/>
      <c r="G9" s="261"/>
      <c r="H9" s="262"/>
      <c r="I9" s="261"/>
      <c r="J9" s="262"/>
      <c r="K9" s="261"/>
      <c r="L9" s="262"/>
      <c r="M9" s="261"/>
      <c r="N9" s="262"/>
      <c r="O9" s="263"/>
      <c r="P9" s="264"/>
      <c r="Q9" s="261"/>
      <c r="R9" s="262"/>
      <c r="S9" s="261"/>
      <c r="T9" s="262"/>
      <c r="U9" s="261"/>
      <c r="V9" s="262"/>
      <c r="W9" s="265"/>
      <c r="X9" s="262"/>
      <c r="Y9" s="265"/>
      <c r="Z9" s="262"/>
      <c r="AA9" s="463">
        <f t="shared" si="0"/>
        <v>0</v>
      </c>
      <c r="AB9" s="464">
        <f t="shared" si="1"/>
        <v>0</v>
      </c>
      <c r="AC9" s="46">
        <f>'t1'!M9</f>
        <v>0</v>
      </c>
    </row>
    <row r="10" spans="1:29" ht="13.5" customHeight="1">
      <c r="A10" s="158" t="str">
        <f>'t1'!A10</f>
        <v>POSIZIONE ECONOMICA C5</v>
      </c>
      <c r="B10" s="230" t="str">
        <f>'t1'!B10</f>
        <v>046000</v>
      </c>
      <c r="C10" s="261"/>
      <c r="D10" s="262"/>
      <c r="E10" s="263"/>
      <c r="F10" s="262"/>
      <c r="G10" s="261"/>
      <c r="H10" s="262"/>
      <c r="I10" s="261"/>
      <c r="J10" s="262"/>
      <c r="K10" s="261"/>
      <c r="L10" s="262"/>
      <c r="M10" s="261"/>
      <c r="N10" s="262"/>
      <c r="O10" s="263"/>
      <c r="P10" s="264"/>
      <c r="Q10" s="261"/>
      <c r="R10" s="262"/>
      <c r="S10" s="261"/>
      <c r="T10" s="262"/>
      <c r="U10" s="261"/>
      <c r="V10" s="262"/>
      <c r="W10" s="265"/>
      <c r="X10" s="262"/>
      <c r="Y10" s="265"/>
      <c r="Z10" s="262"/>
      <c r="AA10" s="463">
        <f t="shared" si="0"/>
        <v>0</v>
      </c>
      <c r="AB10" s="464">
        <f t="shared" si="1"/>
        <v>0</v>
      </c>
      <c r="AC10" s="46">
        <f>'t1'!M10</f>
        <v>0</v>
      </c>
    </row>
    <row r="11" spans="1:29" ht="13.5" customHeight="1">
      <c r="A11" s="158" t="str">
        <f>'t1'!A11</f>
        <v>POSIZIONE ECONOMICA C4</v>
      </c>
      <c r="B11" s="230" t="str">
        <f>'t1'!B11</f>
        <v>045000</v>
      </c>
      <c r="C11" s="261"/>
      <c r="D11" s="262"/>
      <c r="E11" s="263"/>
      <c r="F11" s="262"/>
      <c r="G11" s="261"/>
      <c r="H11" s="262"/>
      <c r="I11" s="261"/>
      <c r="J11" s="262"/>
      <c r="K11" s="261"/>
      <c r="L11" s="262"/>
      <c r="M11" s="261"/>
      <c r="N11" s="262"/>
      <c r="O11" s="263"/>
      <c r="P11" s="264"/>
      <c r="Q11" s="261"/>
      <c r="R11" s="262"/>
      <c r="S11" s="261"/>
      <c r="T11" s="262"/>
      <c r="U11" s="261"/>
      <c r="V11" s="262"/>
      <c r="W11" s="265"/>
      <c r="X11" s="262"/>
      <c r="Y11" s="265"/>
      <c r="Z11" s="262"/>
      <c r="AA11" s="463">
        <f t="shared" si="0"/>
        <v>0</v>
      </c>
      <c r="AB11" s="464">
        <f t="shared" si="1"/>
        <v>0</v>
      </c>
      <c r="AC11" s="46">
        <f>'t1'!M11</f>
        <v>0</v>
      </c>
    </row>
    <row r="12" spans="1:29" ht="13.5" customHeight="1">
      <c r="A12" s="158" t="str">
        <f>'t1'!A12</f>
        <v>POSIZIONE ECONOMICA C3</v>
      </c>
      <c r="B12" s="230" t="str">
        <f>'t1'!B12</f>
        <v>043000</v>
      </c>
      <c r="C12" s="261"/>
      <c r="D12" s="262"/>
      <c r="E12" s="263"/>
      <c r="F12" s="262"/>
      <c r="G12" s="261"/>
      <c r="H12" s="262"/>
      <c r="I12" s="261"/>
      <c r="J12" s="262"/>
      <c r="K12" s="261"/>
      <c r="L12" s="262"/>
      <c r="M12" s="261"/>
      <c r="N12" s="262"/>
      <c r="O12" s="263"/>
      <c r="P12" s="264"/>
      <c r="Q12" s="261"/>
      <c r="R12" s="262"/>
      <c r="S12" s="261"/>
      <c r="T12" s="262"/>
      <c r="U12" s="261"/>
      <c r="V12" s="262"/>
      <c r="W12" s="265"/>
      <c r="X12" s="262"/>
      <c r="Y12" s="265"/>
      <c r="Z12" s="262"/>
      <c r="AA12" s="463">
        <f t="shared" si="0"/>
        <v>0</v>
      </c>
      <c r="AB12" s="464">
        <f t="shared" si="1"/>
        <v>0</v>
      </c>
      <c r="AC12" s="46">
        <f>'t1'!M12</f>
        <v>0</v>
      </c>
    </row>
    <row r="13" spans="1:29" ht="13.5" customHeight="1">
      <c r="A13" s="158" t="str">
        <f>'t1'!A13</f>
        <v>POSIZIONE ECONOMICA C2</v>
      </c>
      <c r="B13" s="230" t="str">
        <f>'t1'!B13</f>
        <v>042000</v>
      </c>
      <c r="C13" s="261"/>
      <c r="D13" s="262"/>
      <c r="E13" s="263"/>
      <c r="F13" s="262"/>
      <c r="G13" s="261"/>
      <c r="H13" s="262"/>
      <c r="I13" s="261"/>
      <c r="J13" s="262"/>
      <c r="K13" s="261"/>
      <c r="L13" s="262"/>
      <c r="M13" s="261"/>
      <c r="N13" s="262"/>
      <c r="O13" s="263"/>
      <c r="P13" s="264"/>
      <c r="Q13" s="261"/>
      <c r="R13" s="262"/>
      <c r="S13" s="261"/>
      <c r="T13" s="262"/>
      <c r="U13" s="261"/>
      <c r="V13" s="262"/>
      <c r="W13" s="265"/>
      <c r="X13" s="262"/>
      <c r="Y13" s="265"/>
      <c r="Z13" s="262"/>
      <c r="AA13" s="463">
        <f t="shared" si="0"/>
        <v>0</v>
      </c>
      <c r="AB13" s="464">
        <f t="shared" si="1"/>
        <v>0</v>
      </c>
      <c r="AC13" s="46">
        <f>'t1'!M13</f>
        <v>0</v>
      </c>
    </row>
    <row r="14" spans="1:29" ht="13.5" customHeight="1">
      <c r="A14" s="158" t="str">
        <f>'t1'!A14</f>
        <v>POSIZIONE ECONOMICA C1</v>
      </c>
      <c r="B14" s="230" t="str">
        <f>'t1'!B14</f>
        <v>040000</v>
      </c>
      <c r="C14" s="261"/>
      <c r="D14" s="262"/>
      <c r="E14" s="263"/>
      <c r="F14" s="262"/>
      <c r="G14" s="261"/>
      <c r="H14" s="262"/>
      <c r="I14" s="261"/>
      <c r="J14" s="262"/>
      <c r="K14" s="261"/>
      <c r="L14" s="262"/>
      <c r="M14" s="261"/>
      <c r="N14" s="262"/>
      <c r="O14" s="263"/>
      <c r="P14" s="264"/>
      <c r="Q14" s="261"/>
      <c r="R14" s="262"/>
      <c r="S14" s="261"/>
      <c r="T14" s="262"/>
      <c r="U14" s="261"/>
      <c r="V14" s="262"/>
      <c r="W14" s="265"/>
      <c r="X14" s="262"/>
      <c r="Y14" s="265"/>
      <c r="Z14" s="262"/>
      <c r="AA14" s="463">
        <f t="shared" si="0"/>
        <v>0</v>
      </c>
      <c r="AB14" s="464">
        <f t="shared" si="1"/>
        <v>0</v>
      </c>
      <c r="AC14" s="46">
        <f>'t1'!M14</f>
        <v>0</v>
      </c>
    </row>
    <row r="15" spans="1:29" ht="13.5" customHeight="1">
      <c r="A15" s="158" t="str">
        <f>'t1'!A15</f>
        <v>POSIZIONE ECONOMICA B4</v>
      </c>
      <c r="B15" s="230" t="str">
        <f>'t1'!B15</f>
        <v>036000</v>
      </c>
      <c r="C15" s="261"/>
      <c r="D15" s="262"/>
      <c r="E15" s="263"/>
      <c r="F15" s="262"/>
      <c r="G15" s="261"/>
      <c r="H15" s="262"/>
      <c r="I15" s="261"/>
      <c r="J15" s="262"/>
      <c r="K15" s="261"/>
      <c r="L15" s="262"/>
      <c r="M15" s="261"/>
      <c r="N15" s="262"/>
      <c r="O15" s="263"/>
      <c r="P15" s="264"/>
      <c r="Q15" s="261"/>
      <c r="R15" s="262"/>
      <c r="S15" s="261"/>
      <c r="T15" s="262"/>
      <c r="U15" s="261"/>
      <c r="V15" s="262"/>
      <c r="W15" s="265"/>
      <c r="X15" s="262"/>
      <c r="Y15" s="265"/>
      <c r="Z15" s="262"/>
      <c r="AA15" s="463">
        <f t="shared" si="0"/>
        <v>0</v>
      </c>
      <c r="AB15" s="464">
        <f t="shared" si="1"/>
        <v>0</v>
      </c>
      <c r="AC15" s="46">
        <f>'t1'!M15</f>
        <v>0</v>
      </c>
    </row>
    <row r="16" spans="1:29" ht="13.5" customHeight="1">
      <c r="A16" s="158" t="str">
        <f>'t1'!A16</f>
        <v>POSIZIONE ECONOMICA B3</v>
      </c>
      <c r="B16" s="230" t="str">
        <f>'t1'!B16</f>
        <v>034000</v>
      </c>
      <c r="C16" s="261"/>
      <c r="D16" s="262"/>
      <c r="E16" s="263"/>
      <c r="F16" s="262"/>
      <c r="G16" s="261"/>
      <c r="H16" s="262"/>
      <c r="I16" s="261"/>
      <c r="J16" s="262"/>
      <c r="K16" s="261"/>
      <c r="L16" s="262"/>
      <c r="M16" s="261"/>
      <c r="N16" s="262"/>
      <c r="O16" s="263"/>
      <c r="P16" s="264"/>
      <c r="Q16" s="261"/>
      <c r="R16" s="262"/>
      <c r="S16" s="261"/>
      <c r="T16" s="262"/>
      <c r="U16" s="261"/>
      <c r="V16" s="262"/>
      <c r="W16" s="265"/>
      <c r="X16" s="262"/>
      <c r="Y16" s="265"/>
      <c r="Z16" s="262"/>
      <c r="AA16" s="463">
        <f t="shared" si="0"/>
        <v>0</v>
      </c>
      <c r="AB16" s="464">
        <f t="shared" si="1"/>
        <v>0</v>
      </c>
      <c r="AC16" s="46">
        <f>'t1'!M16</f>
        <v>0</v>
      </c>
    </row>
    <row r="17" spans="1:29" ht="13.5" customHeight="1">
      <c r="A17" s="158" t="str">
        <f>'t1'!A17</f>
        <v>POSIZIONE ECONOMICA B2</v>
      </c>
      <c r="B17" s="230" t="str">
        <f>'t1'!B17</f>
        <v>032000</v>
      </c>
      <c r="C17" s="261"/>
      <c r="D17" s="262"/>
      <c r="E17" s="263"/>
      <c r="F17" s="262"/>
      <c r="G17" s="261"/>
      <c r="H17" s="262"/>
      <c r="I17" s="261"/>
      <c r="J17" s="262"/>
      <c r="K17" s="261"/>
      <c r="L17" s="262"/>
      <c r="M17" s="261"/>
      <c r="N17" s="262"/>
      <c r="O17" s="263"/>
      <c r="P17" s="264"/>
      <c r="Q17" s="261"/>
      <c r="R17" s="262"/>
      <c r="S17" s="261"/>
      <c r="T17" s="262"/>
      <c r="U17" s="261"/>
      <c r="V17" s="262"/>
      <c r="W17" s="265"/>
      <c r="X17" s="262"/>
      <c r="Y17" s="265"/>
      <c r="Z17" s="262"/>
      <c r="AA17" s="463">
        <f t="shared" si="0"/>
        <v>0</v>
      </c>
      <c r="AB17" s="464">
        <f t="shared" si="1"/>
        <v>0</v>
      </c>
      <c r="AC17" s="46">
        <f>'t1'!M17</f>
        <v>0</v>
      </c>
    </row>
    <row r="18" spans="1:29" ht="13.5" customHeight="1">
      <c r="A18" s="158" t="str">
        <f>'t1'!A18</f>
        <v>POSIZIONE ECONOMICA B1</v>
      </c>
      <c r="B18" s="230" t="str">
        <f>'t1'!B18</f>
        <v>030000</v>
      </c>
      <c r="C18" s="261"/>
      <c r="D18" s="262"/>
      <c r="E18" s="263"/>
      <c r="F18" s="262"/>
      <c r="G18" s="261"/>
      <c r="H18" s="262"/>
      <c r="I18" s="261"/>
      <c r="J18" s="262"/>
      <c r="K18" s="261"/>
      <c r="L18" s="262"/>
      <c r="M18" s="261"/>
      <c r="N18" s="262"/>
      <c r="O18" s="263"/>
      <c r="P18" s="264"/>
      <c r="Q18" s="261"/>
      <c r="R18" s="262"/>
      <c r="S18" s="261"/>
      <c r="T18" s="262"/>
      <c r="U18" s="261"/>
      <c r="V18" s="262"/>
      <c r="W18" s="265"/>
      <c r="X18" s="262"/>
      <c r="Y18" s="265"/>
      <c r="Z18" s="262"/>
      <c r="AA18" s="463">
        <f t="shared" si="0"/>
        <v>0</v>
      </c>
      <c r="AB18" s="464">
        <f t="shared" si="1"/>
        <v>0</v>
      </c>
      <c r="AC18" s="46">
        <f>'t1'!M18</f>
        <v>0</v>
      </c>
    </row>
    <row r="19" spans="1:29" ht="13.5" customHeight="1">
      <c r="A19" s="158" t="str">
        <f>'t1'!A19</f>
        <v>POSIZIONE ECONOMICA A3</v>
      </c>
      <c r="B19" s="230" t="str">
        <f>'t1'!B19</f>
        <v>027000</v>
      </c>
      <c r="C19" s="261"/>
      <c r="D19" s="262"/>
      <c r="E19" s="263"/>
      <c r="F19" s="262"/>
      <c r="G19" s="261"/>
      <c r="H19" s="262"/>
      <c r="I19" s="261"/>
      <c r="J19" s="262"/>
      <c r="K19" s="261"/>
      <c r="L19" s="262"/>
      <c r="M19" s="261"/>
      <c r="N19" s="262"/>
      <c r="O19" s="263"/>
      <c r="P19" s="264"/>
      <c r="Q19" s="261"/>
      <c r="R19" s="262"/>
      <c r="S19" s="261"/>
      <c r="T19" s="262"/>
      <c r="U19" s="261"/>
      <c r="V19" s="262"/>
      <c r="W19" s="265"/>
      <c r="X19" s="262"/>
      <c r="Y19" s="265"/>
      <c r="Z19" s="262"/>
      <c r="AA19" s="463">
        <f t="shared" si="0"/>
        <v>0</v>
      </c>
      <c r="AB19" s="464">
        <f t="shared" si="1"/>
        <v>0</v>
      </c>
      <c r="AC19" s="46">
        <f>'t1'!M19</f>
        <v>0</v>
      </c>
    </row>
    <row r="20" spans="1:29" ht="13.5" customHeight="1">
      <c r="A20" s="158" t="str">
        <f>'t1'!A20</f>
        <v>POSIZIONE ECONOMICA A2</v>
      </c>
      <c r="B20" s="230" t="str">
        <f>'t1'!B20</f>
        <v>025000</v>
      </c>
      <c r="C20" s="261"/>
      <c r="D20" s="262"/>
      <c r="E20" s="263"/>
      <c r="F20" s="262"/>
      <c r="G20" s="261"/>
      <c r="H20" s="262"/>
      <c r="I20" s="261"/>
      <c r="J20" s="262"/>
      <c r="K20" s="261"/>
      <c r="L20" s="262"/>
      <c r="M20" s="261"/>
      <c r="N20" s="262"/>
      <c r="O20" s="263"/>
      <c r="P20" s="264"/>
      <c r="Q20" s="261"/>
      <c r="R20" s="262"/>
      <c r="S20" s="261"/>
      <c r="T20" s="262"/>
      <c r="U20" s="261"/>
      <c r="V20" s="262"/>
      <c r="W20" s="265"/>
      <c r="X20" s="262"/>
      <c r="Y20" s="265"/>
      <c r="Z20" s="262"/>
      <c r="AA20" s="463">
        <f t="shared" si="0"/>
        <v>0</v>
      </c>
      <c r="AB20" s="464">
        <f t="shared" si="1"/>
        <v>0</v>
      </c>
      <c r="AC20" s="46">
        <f>'t1'!M20</f>
        <v>0</v>
      </c>
    </row>
    <row r="21" spans="1:29" ht="13.5" customHeight="1">
      <c r="A21" s="158" t="str">
        <f>'t1'!A21</f>
        <v>POSIZIONE ECONOMICA A1</v>
      </c>
      <c r="B21" s="230" t="str">
        <f>'t1'!B21</f>
        <v>023000</v>
      </c>
      <c r="C21" s="261"/>
      <c r="D21" s="262"/>
      <c r="E21" s="263"/>
      <c r="F21" s="262"/>
      <c r="G21" s="261"/>
      <c r="H21" s="262"/>
      <c r="I21" s="261"/>
      <c r="J21" s="262"/>
      <c r="K21" s="261"/>
      <c r="L21" s="262"/>
      <c r="M21" s="261"/>
      <c r="N21" s="262"/>
      <c r="O21" s="263"/>
      <c r="P21" s="264"/>
      <c r="Q21" s="261"/>
      <c r="R21" s="262"/>
      <c r="S21" s="261"/>
      <c r="T21" s="262"/>
      <c r="U21" s="261"/>
      <c r="V21" s="262"/>
      <c r="W21" s="265"/>
      <c r="X21" s="262"/>
      <c r="Y21" s="265"/>
      <c r="Z21" s="262"/>
      <c r="AA21" s="463">
        <f t="shared" si="0"/>
        <v>0</v>
      </c>
      <c r="AB21" s="464">
        <f t="shared" si="1"/>
        <v>0</v>
      </c>
      <c r="AC21" s="46">
        <f>'t1'!M21</f>
        <v>0</v>
      </c>
    </row>
    <row r="22" spans="1:29" ht="13.5" customHeight="1" thickBot="1">
      <c r="A22" s="158" t="str">
        <f>'t1'!A22</f>
        <v>CONTRATTISTI (a)</v>
      </c>
      <c r="B22" s="230" t="str">
        <f>'t1'!B22</f>
        <v>000061</v>
      </c>
      <c r="C22" s="261"/>
      <c r="D22" s="262"/>
      <c r="E22" s="263"/>
      <c r="F22" s="262"/>
      <c r="G22" s="261"/>
      <c r="H22" s="262"/>
      <c r="I22" s="261"/>
      <c r="J22" s="262"/>
      <c r="K22" s="261"/>
      <c r="L22" s="262"/>
      <c r="M22" s="261"/>
      <c r="N22" s="262"/>
      <c r="O22" s="263"/>
      <c r="P22" s="264"/>
      <c r="Q22" s="261"/>
      <c r="R22" s="262"/>
      <c r="S22" s="261"/>
      <c r="T22" s="262"/>
      <c r="U22" s="261"/>
      <c r="V22" s="262"/>
      <c r="W22" s="265"/>
      <c r="X22" s="262"/>
      <c r="Y22" s="265"/>
      <c r="Z22" s="262"/>
      <c r="AA22" s="463">
        <f t="shared" si="0"/>
        <v>0</v>
      </c>
      <c r="AB22" s="464">
        <f t="shared" si="1"/>
        <v>0</v>
      </c>
      <c r="AC22" s="46">
        <f>'t1'!M22</f>
        <v>0</v>
      </c>
    </row>
    <row r="23" spans="1:28" ht="16.5" customHeight="1" thickBot="1" thickTop="1">
      <c r="A23" s="59" t="s">
        <v>77</v>
      </c>
      <c r="B23" s="60"/>
      <c r="C23" s="465">
        <f aca="true" t="shared" si="2" ref="C23:AB23">SUM(C6:C22)</f>
        <v>0</v>
      </c>
      <c r="D23" s="467">
        <f t="shared" si="2"/>
        <v>0</v>
      </c>
      <c r="E23" s="465">
        <f t="shared" si="2"/>
        <v>0</v>
      </c>
      <c r="F23" s="467">
        <f t="shared" si="2"/>
        <v>0</v>
      </c>
      <c r="G23" s="465">
        <f t="shared" si="2"/>
        <v>0</v>
      </c>
      <c r="H23" s="467">
        <f t="shared" si="2"/>
        <v>0</v>
      </c>
      <c r="I23" s="465">
        <f t="shared" si="2"/>
        <v>0</v>
      </c>
      <c r="J23" s="467">
        <f t="shared" si="2"/>
        <v>0</v>
      </c>
      <c r="K23" s="465">
        <f t="shared" si="2"/>
        <v>0</v>
      </c>
      <c r="L23" s="467">
        <f t="shared" si="2"/>
        <v>0</v>
      </c>
      <c r="M23" s="465">
        <f t="shared" si="2"/>
        <v>0</v>
      </c>
      <c r="N23" s="467">
        <f t="shared" si="2"/>
        <v>0</v>
      </c>
      <c r="O23" s="465">
        <f t="shared" si="2"/>
        <v>0</v>
      </c>
      <c r="P23" s="467">
        <f t="shared" si="2"/>
        <v>0</v>
      </c>
      <c r="Q23" s="465">
        <f t="shared" si="2"/>
        <v>0</v>
      </c>
      <c r="R23" s="467">
        <f t="shared" si="2"/>
        <v>0</v>
      </c>
      <c r="S23" s="465">
        <f t="shared" si="2"/>
        <v>0</v>
      </c>
      <c r="T23" s="467">
        <f t="shared" si="2"/>
        <v>0</v>
      </c>
      <c r="U23" s="465">
        <f t="shared" si="2"/>
        <v>0</v>
      </c>
      <c r="V23" s="467">
        <f t="shared" si="2"/>
        <v>0</v>
      </c>
      <c r="W23" s="465">
        <f t="shared" si="2"/>
        <v>0</v>
      </c>
      <c r="X23" s="467">
        <f t="shared" si="2"/>
        <v>0</v>
      </c>
      <c r="Y23" s="465">
        <f t="shared" si="2"/>
        <v>0</v>
      </c>
      <c r="Z23" s="467">
        <f t="shared" si="2"/>
        <v>0</v>
      </c>
      <c r="AA23" s="465">
        <f t="shared" si="2"/>
        <v>0</v>
      </c>
      <c r="AB23" s="466">
        <f t="shared" si="2"/>
        <v>0</v>
      </c>
    </row>
    <row r="24" spans="1:28" ht="8.25" customHeight="1">
      <c r="A24" s="161"/>
      <c r="B24" s="162"/>
      <c r="C24" s="163"/>
      <c r="D24" s="163"/>
      <c r="E24" s="163"/>
      <c r="F24" s="163"/>
      <c r="G24" s="163"/>
      <c r="H24" s="163"/>
      <c r="I24" s="163"/>
      <c r="J24" s="163"/>
      <c r="K24" s="163"/>
      <c r="L24" s="163"/>
      <c r="M24" s="163"/>
      <c r="N24" s="163"/>
      <c r="O24" s="163"/>
      <c r="P24" s="163"/>
      <c r="Q24" s="163"/>
      <c r="R24" s="163"/>
      <c r="S24" s="163"/>
      <c r="T24" s="163"/>
      <c r="U24" s="163"/>
      <c r="V24" s="163"/>
      <c r="W24" s="163"/>
      <c r="X24" s="163"/>
      <c r="Y24" s="163"/>
      <c r="Z24" s="163"/>
      <c r="AA24" s="163"/>
      <c r="AB24" s="163"/>
    </row>
    <row r="25" spans="1:13" ht="9.75">
      <c r="A25" s="26" t="str">
        <f>'t1'!$A$24</f>
        <v>(a) personale a tempo indeterminato al quale viene applicato un contratto di lavoro di tipo privatistico (es.:tipografico,chimico,edile,metalmeccanico,portierato, ecc.)</v>
      </c>
      <c r="B25" s="7"/>
      <c r="C25" s="5"/>
      <c r="D25" s="5"/>
      <c r="E25" s="5"/>
      <c r="F25" s="5"/>
      <c r="G25" s="5"/>
      <c r="H25" s="5"/>
      <c r="I25" s="5"/>
      <c r="J25" s="5"/>
      <c r="K25" s="5"/>
      <c r="L25" s="5"/>
      <c r="M25" s="81"/>
    </row>
    <row r="26" spans="1:2" s="5" customFormat="1" ht="9.75">
      <c r="A26" s="26"/>
      <c r="B26" s="7"/>
    </row>
  </sheetData>
  <sheetProtection password="EA98" sheet="1" formatColumns="0" selectLockedCells="1"/>
  <mergeCells count="14">
    <mergeCell ref="K4:L4"/>
    <mergeCell ref="O4:P4"/>
    <mergeCell ref="Q4:R4"/>
    <mergeCell ref="S4:T4"/>
    <mergeCell ref="AA4:AB4"/>
    <mergeCell ref="U4:V4"/>
    <mergeCell ref="Y4:Z4"/>
    <mergeCell ref="W4:X4"/>
    <mergeCell ref="A1:Y1"/>
    <mergeCell ref="S2:AB2"/>
    <mergeCell ref="M4:N4"/>
    <mergeCell ref="C4:D4"/>
    <mergeCell ref="G4:H4"/>
    <mergeCell ref="I4:J4"/>
  </mergeCells>
  <conditionalFormatting sqref="A6:AB22">
    <cfRule type="expression" priority="1" dxfId="3" stopIfTrue="1">
      <formula>$AC6&gt;0</formula>
    </cfRule>
  </conditionalFormatting>
  <printOptions horizontalCentered="1" verticalCentered="1"/>
  <pageMargins left="0" right="0" top="0.1968503937007874" bottom="0.15748031496062992" header="0.2362204724409449" footer="0.1968503937007874"/>
  <pageSetup horizontalDpi="600" verticalDpi="600" orientation="landscape" paperSize="9" scale="70" r:id="rId2"/>
  <drawing r:id="rId1"/>
</worksheet>
</file>

<file path=xl/worksheets/sheet12.xml><?xml version="1.0" encoding="utf-8"?>
<worksheet xmlns="http://schemas.openxmlformats.org/spreadsheetml/2006/main" xmlns:r="http://schemas.openxmlformats.org/officeDocument/2006/relationships">
  <sheetPr codeName="Foglio16"/>
  <dimension ref="A1:T25"/>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C6" sqref="C6"/>
    </sheetView>
  </sheetViews>
  <sheetFormatPr defaultColWidth="10.66015625" defaultRowHeight="10.5"/>
  <cols>
    <col min="1" max="1" width="42.66015625" style="36" customWidth="1"/>
    <col min="2" max="2" width="7.83203125" style="36" customWidth="1"/>
    <col min="3" max="16" width="13.66015625" style="36" customWidth="1"/>
    <col min="17" max="17" width="0" style="36" hidden="1" customWidth="1"/>
    <col min="18" max="16384" width="10.66015625" style="36" customWidth="1"/>
  </cols>
  <sheetData>
    <row r="1" spans="1:17" s="5" customFormat="1" ht="43.5" customHeight="1">
      <c r="A1" s="1349" t="str">
        <f>'t1'!A1</f>
        <v>CNEL - anno 2018</v>
      </c>
      <c r="B1" s="1349"/>
      <c r="C1" s="1349"/>
      <c r="D1" s="1349"/>
      <c r="E1" s="1349"/>
      <c r="F1" s="1349"/>
      <c r="G1" s="1349"/>
      <c r="H1" s="1349"/>
      <c r="I1" s="1349"/>
      <c r="J1" s="1349"/>
      <c r="K1" s="1349"/>
      <c r="L1" s="1349"/>
      <c r="M1" s="1349"/>
      <c r="N1" s="1349"/>
      <c r="O1" s="3"/>
      <c r="P1" s="318"/>
      <c r="Q1"/>
    </row>
    <row r="2" spans="1:17" s="5" customFormat="1" ht="5.25" customHeight="1">
      <c r="A2" s="354"/>
      <c r="B2" s="354"/>
      <c r="C2" s="354"/>
      <c r="D2" s="354"/>
      <c r="E2" s="354"/>
      <c r="F2" s="354"/>
      <c r="G2" s="354"/>
      <c r="H2" s="354"/>
      <c r="I2" s="354"/>
      <c r="J2" s="354"/>
      <c r="K2" s="354"/>
      <c r="L2" s="354"/>
      <c r="M2" s="354"/>
      <c r="N2" s="354"/>
      <c r="O2" s="3"/>
      <c r="P2" s="318"/>
      <c r="Q2"/>
    </row>
    <row r="3" spans="13:16" ht="30" customHeight="1" thickBot="1">
      <c r="M3" s="1350"/>
      <c r="N3" s="1350"/>
      <c r="O3" s="1350"/>
      <c r="P3" s="1350"/>
    </row>
    <row r="4" spans="1:16" ht="24.75" customHeight="1">
      <c r="A4" s="284" t="s">
        <v>147</v>
      </c>
      <c r="B4" s="267" t="s">
        <v>74</v>
      </c>
      <c r="C4" s="37" t="s">
        <v>81</v>
      </c>
      <c r="D4" s="38"/>
      <c r="E4" s="37" t="s">
        <v>82</v>
      </c>
      <c r="F4" s="38"/>
      <c r="G4" s="1384" t="s">
        <v>59</v>
      </c>
      <c r="H4" s="1385"/>
      <c r="I4" s="1384" t="s">
        <v>83</v>
      </c>
      <c r="J4" s="1385"/>
      <c r="K4" s="1384" t="s">
        <v>60</v>
      </c>
      <c r="L4" s="1385"/>
      <c r="M4" s="1384" t="s">
        <v>61</v>
      </c>
      <c r="N4" s="1385"/>
      <c r="O4" s="548" t="s">
        <v>77</v>
      </c>
      <c r="P4" s="549"/>
    </row>
    <row r="5" spans="1:16" ht="14.25" customHeight="1" thickBot="1">
      <c r="A5" s="895" t="s">
        <v>645</v>
      </c>
      <c r="B5" s="39"/>
      <c r="C5" s="40" t="s">
        <v>75</v>
      </c>
      <c r="D5" s="41" t="s">
        <v>76</v>
      </c>
      <c r="E5" s="40" t="s">
        <v>75</v>
      </c>
      <c r="F5" s="41" t="s">
        <v>76</v>
      </c>
      <c r="G5" s="40" t="s">
        <v>75</v>
      </c>
      <c r="H5" s="42" t="s">
        <v>76</v>
      </c>
      <c r="I5" s="40" t="s">
        <v>75</v>
      </c>
      <c r="J5" s="42" t="s">
        <v>76</v>
      </c>
      <c r="K5" s="40" t="s">
        <v>75</v>
      </c>
      <c r="L5" s="43" t="s">
        <v>76</v>
      </c>
      <c r="M5" s="40" t="s">
        <v>75</v>
      </c>
      <c r="N5" s="43" t="s">
        <v>76</v>
      </c>
      <c r="O5" s="551" t="s">
        <v>75</v>
      </c>
      <c r="P5" s="552" t="s">
        <v>76</v>
      </c>
    </row>
    <row r="6" spans="1:17" ht="13.5" customHeight="1" thickTop="1">
      <c r="A6" s="25" t="str">
        <f>'t1'!A6</f>
        <v>DIRIGENTE I FASCIA</v>
      </c>
      <c r="B6" s="237" t="str">
        <f>'t1'!B6</f>
        <v>0D0077</v>
      </c>
      <c r="C6" s="336"/>
      <c r="D6" s="337"/>
      <c r="E6" s="336"/>
      <c r="F6" s="337"/>
      <c r="G6" s="336"/>
      <c r="H6" s="338"/>
      <c r="I6" s="544"/>
      <c r="J6" s="338"/>
      <c r="K6" s="544"/>
      <c r="L6" s="338"/>
      <c r="M6" s="339"/>
      <c r="N6" s="340"/>
      <c r="O6" s="550">
        <f>SUM(C6,E6,G6,I6,K6,M6)</f>
        <v>0</v>
      </c>
      <c r="P6" s="553">
        <f>SUM(D6,F6,H6,J6,L6,N6)</f>
        <v>0</v>
      </c>
      <c r="Q6" s="36">
        <f>'t1'!M6</f>
        <v>0</v>
      </c>
    </row>
    <row r="7" spans="1:17" ht="13.5" customHeight="1">
      <c r="A7" s="158" t="str">
        <f>'t1'!A7</f>
        <v>DIRIGENTE I FASCIA A TEMPO DETERM.</v>
      </c>
      <c r="B7" s="230" t="str">
        <f>'t1'!B7</f>
        <v>0D0078</v>
      </c>
      <c r="C7" s="341"/>
      <c r="D7" s="342"/>
      <c r="E7" s="341"/>
      <c r="F7" s="342"/>
      <c r="G7" s="341"/>
      <c r="H7" s="343"/>
      <c r="I7" s="545"/>
      <c r="J7" s="343"/>
      <c r="K7" s="545"/>
      <c r="L7" s="343"/>
      <c r="M7" s="344"/>
      <c r="N7" s="345"/>
      <c r="O7" s="468">
        <f aca="true" t="shared" si="0" ref="O7:O22">SUM(C7,E7,G7,I7,K7,M7)</f>
        <v>0</v>
      </c>
      <c r="P7" s="469">
        <f aca="true" t="shared" si="1" ref="P7:P22">SUM(D7,F7,H7,J7,L7,N7)</f>
        <v>0</v>
      </c>
      <c r="Q7" s="36">
        <f>'t1'!M7</f>
        <v>0</v>
      </c>
    </row>
    <row r="8" spans="1:17" ht="13.5" customHeight="1">
      <c r="A8" s="158" t="str">
        <f>'t1'!A8</f>
        <v>DIRIGENTE II FASCIA</v>
      </c>
      <c r="B8" s="230" t="str">
        <f>'t1'!B8</f>
        <v>0D0079</v>
      </c>
      <c r="C8" s="341"/>
      <c r="D8" s="342"/>
      <c r="E8" s="341"/>
      <c r="F8" s="342"/>
      <c r="G8" s="341"/>
      <c r="H8" s="343"/>
      <c r="I8" s="545"/>
      <c r="J8" s="343"/>
      <c r="K8" s="545"/>
      <c r="L8" s="343"/>
      <c r="M8" s="344"/>
      <c r="N8" s="345"/>
      <c r="O8" s="468">
        <f t="shared" si="0"/>
        <v>0</v>
      </c>
      <c r="P8" s="469">
        <f t="shared" si="1"/>
        <v>0</v>
      </c>
      <c r="Q8" s="36">
        <f>'t1'!M8</f>
        <v>0</v>
      </c>
    </row>
    <row r="9" spans="1:17" ht="13.5" customHeight="1">
      <c r="A9" s="158" t="str">
        <f>'t1'!A9</f>
        <v>DIRIGENTE II FASCIA A TEMPO DETERM.</v>
      </c>
      <c r="B9" s="230" t="str">
        <f>'t1'!B9</f>
        <v>0D0080</v>
      </c>
      <c r="C9" s="341"/>
      <c r="D9" s="342"/>
      <c r="E9" s="341"/>
      <c r="F9" s="342"/>
      <c r="G9" s="341"/>
      <c r="H9" s="343"/>
      <c r="I9" s="545"/>
      <c r="J9" s="343"/>
      <c r="K9" s="545"/>
      <c r="L9" s="343"/>
      <c r="M9" s="344"/>
      <c r="N9" s="345"/>
      <c r="O9" s="468">
        <f t="shared" si="0"/>
        <v>0</v>
      </c>
      <c r="P9" s="469">
        <f t="shared" si="1"/>
        <v>0</v>
      </c>
      <c r="Q9" s="36">
        <f>'t1'!M9</f>
        <v>0</v>
      </c>
    </row>
    <row r="10" spans="1:17" ht="13.5" customHeight="1">
      <c r="A10" s="158" t="str">
        <f>'t1'!A10</f>
        <v>POSIZIONE ECONOMICA C5</v>
      </c>
      <c r="B10" s="230" t="str">
        <f>'t1'!B10</f>
        <v>046000</v>
      </c>
      <c r="C10" s="341"/>
      <c r="D10" s="342"/>
      <c r="E10" s="341"/>
      <c r="F10" s="342"/>
      <c r="G10" s="341"/>
      <c r="H10" s="343"/>
      <c r="I10" s="545"/>
      <c r="J10" s="343"/>
      <c r="K10" s="545"/>
      <c r="L10" s="343"/>
      <c r="M10" s="344"/>
      <c r="N10" s="345"/>
      <c r="O10" s="468">
        <f t="shared" si="0"/>
        <v>0</v>
      </c>
      <c r="P10" s="469">
        <f t="shared" si="1"/>
        <v>0</v>
      </c>
      <c r="Q10" s="36">
        <f>'t1'!M10</f>
        <v>0</v>
      </c>
    </row>
    <row r="11" spans="1:17" ht="13.5" customHeight="1">
      <c r="A11" s="158" t="str">
        <f>'t1'!A11</f>
        <v>POSIZIONE ECONOMICA C4</v>
      </c>
      <c r="B11" s="230" t="str">
        <f>'t1'!B11</f>
        <v>045000</v>
      </c>
      <c r="C11" s="341"/>
      <c r="D11" s="342"/>
      <c r="E11" s="341"/>
      <c r="F11" s="342"/>
      <c r="G11" s="341"/>
      <c r="H11" s="343"/>
      <c r="I11" s="545"/>
      <c r="J11" s="343"/>
      <c r="K11" s="545"/>
      <c r="L11" s="343"/>
      <c r="M11" s="344"/>
      <c r="N11" s="345"/>
      <c r="O11" s="468">
        <f t="shared" si="0"/>
        <v>0</v>
      </c>
      <c r="P11" s="469">
        <f t="shared" si="1"/>
        <v>0</v>
      </c>
      <c r="Q11" s="36">
        <f>'t1'!M11</f>
        <v>0</v>
      </c>
    </row>
    <row r="12" spans="1:17" ht="13.5" customHeight="1">
      <c r="A12" s="158" t="str">
        <f>'t1'!A12</f>
        <v>POSIZIONE ECONOMICA C3</v>
      </c>
      <c r="B12" s="230" t="str">
        <f>'t1'!B12</f>
        <v>043000</v>
      </c>
      <c r="C12" s="341"/>
      <c r="D12" s="342"/>
      <c r="E12" s="341"/>
      <c r="F12" s="342"/>
      <c r="G12" s="341"/>
      <c r="H12" s="343"/>
      <c r="I12" s="545"/>
      <c r="J12" s="343"/>
      <c r="K12" s="545"/>
      <c r="L12" s="343"/>
      <c r="M12" s="344"/>
      <c r="N12" s="345"/>
      <c r="O12" s="468">
        <f t="shared" si="0"/>
        <v>0</v>
      </c>
      <c r="P12" s="469">
        <f t="shared" si="1"/>
        <v>0</v>
      </c>
      <c r="Q12" s="36">
        <f>'t1'!M12</f>
        <v>0</v>
      </c>
    </row>
    <row r="13" spans="1:17" ht="13.5" customHeight="1">
      <c r="A13" s="158" t="str">
        <f>'t1'!A13</f>
        <v>POSIZIONE ECONOMICA C2</v>
      </c>
      <c r="B13" s="230" t="str">
        <f>'t1'!B13</f>
        <v>042000</v>
      </c>
      <c r="C13" s="341"/>
      <c r="D13" s="342"/>
      <c r="E13" s="341"/>
      <c r="F13" s="342"/>
      <c r="G13" s="341"/>
      <c r="H13" s="343"/>
      <c r="I13" s="545"/>
      <c r="J13" s="343"/>
      <c r="K13" s="545"/>
      <c r="L13" s="343"/>
      <c r="M13" s="344"/>
      <c r="N13" s="345"/>
      <c r="O13" s="468">
        <f t="shared" si="0"/>
        <v>0</v>
      </c>
      <c r="P13" s="469">
        <f t="shared" si="1"/>
        <v>0</v>
      </c>
      <c r="Q13" s="36">
        <f>'t1'!M13</f>
        <v>0</v>
      </c>
    </row>
    <row r="14" spans="1:17" ht="13.5" customHeight="1">
      <c r="A14" s="158" t="str">
        <f>'t1'!A14</f>
        <v>POSIZIONE ECONOMICA C1</v>
      </c>
      <c r="B14" s="230" t="str">
        <f>'t1'!B14</f>
        <v>040000</v>
      </c>
      <c r="C14" s="341"/>
      <c r="D14" s="342"/>
      <c r="E14" s="341"/>
      <c r="F14" s="342"/>
      <c r="G14" s="341"/>
      <c r="H14" s="343"/>
      <c r="I14" s="545"/>
      <c r="J14" s="343"/>
      <c r="K14" s="545"/>
      <c r="L14" s="343"/>
      <c r="M14" s="344"/>
      <c r="N14" s="345"/>
      <c r="O14" s="468">
        <f t="shared" si="0"/>
        <v>0</v>
      </c>
      <c r="P14" s="469">
        <f t="shared" si="1"/>
        <v>0</v>
      </c>
      <c r="Q14" s="36">
        <f>'t1'!M14</f>
        <v>0</v>
      </c>
    </row>
    <row r="15" spans="1:17" ht="13.5" customHeight="1">
      <c r="A15" s="158" t="str">
        <f>'t1'!A15</f>
        <v>POSIZIONE ECONOMICA B4</v>
      </c>
      <c r="B15" s="230" t="str">
        <f>'t1'!B15</f>
        <v>036000</v>
      </c>
      <c r="C15" s="341"/>
      <c r="D15" s="342"/>
      <c r="E15" s="341"/>
      <c r="F15" s="342"/>
      <c r="G15" s="341"/>
      <c r="H15" s="343"/>
      <c r="I15" s="545"/>
      <c r="J15" s="343"/>
      <c r="K15" s="545"/>
      <c r="L15" s="343"/>
      <c r="M15" s="344"/>
      <c r="N15" s="345"/>
      <c r="O15" s="468">
        <f t="shared" si="0"/>
        <v>0</v>
      </c>
      <c r="P15" s="469">
        <f t="shared" si="1"/>
        <v>0</v>
      </c>
      <c r="Q15" s="36">
        <f>'t1'!M15</f>
        <v>0</v>
      </c>
    </row>
    <row r="16" spans="1:17" ht="13.5" customHeight="1">
      <c r="A16" s="158" t="str">
        <f>'t1'!A16</f>
        <v>POSIZIONE ECONOMICA B3</v>
      </c>
      <c r="B16" s="230" t="str">
        <f>'t1'!B16</f>
        <v>034000</v>
      </c>
      <c r="C16" s="341"/>
      <c r="D16" s="342"/>
      <c r="E16" s="341"/>
      <c r="F16" s="342"/>
      <c r="G16" s="341"/>
      <c r="H16" s="343"/>
      <c r="I16" s="545"/>
      <c r="J16" s="343"/>
      <c r="K16" s="545"/>
      <c r="L16" s="343"/>
      <c r="M16" s="344"/>
      <c r="N16" s="345"/>
      <c r="O16" s="468">
        <f t="shared" si="0"/>
        <v>0</v>
      </c>
      <c r="P16" s="469">
        <f t="shared" si="1"/>
        <v>0</v>
      </c>
      <c r="Q16" s="36">
        <f>'t1'!M16</f>
        <v>0</v>
      </c>
    </row>
    <row r="17" spans="1:17" ht="13.5" customHeight="1">
      <c r="A17" s="158" t="str">
        <f>'t1'!A17</f>
        <v>POSIZIONE ECONOMICA B2</v>
      </c>
      <c r="B17" s="230" t="str">
        <f>'t1'!B17</f>
        <v>032000</v>
      </c>
      <c r="C17" s="341"/>
      <c r="D17" s="342"/>
      <c r="E17" s="341"/>
      <c r="F17" s="342"/>
      <c r="G17" s="341"/>
      <c r="H17" s="343"/>
      <c r="I17" s="545"/>
      <c r="J17" s="343"/>
      <c r="K17" s="545"/>
      <c r="L17" s="343"/>
      <c r="M17" s="344"/>
      <c r="N17" s="345"/>
      <c r="O17" s="468">
        <f t="shared" si="0"/>
        <v>0</v>
      </c>
      <c r="P17" s="469">
        <f t="shared" si="1"/>
        <v>0</v>
      </c>
      <c r="Q17" s="36">
        <f>'t1'!M17</f>
        <v>0</v>
      </c>
    </row>
    <row r="18" spans="1:17" ht="13.5" customHeight="1">
      <c r="A18" s="158" t="str">
        <f>'t1'!A18</f>
        <v>POSIZIONE ECONOMICA B1</v>
      </c>
      <c r="B18" s="230" t="str">
        <f>'t1'!B18</f>
        <v>030000</v>
      </c>
      <c r="C18" s="341"/>
      <c r="D18" s="342"/>
      <c r="E18" s="341"/>
      <c r="F18" s="342"/>
      <c r="G18" s="341"/>
      <c r="H18" s="343"/>
      <c r="I18" s="545"/>
      <c r="J18" s="343"/>
      <c r="K18" s="545"/>
      <c r="L18" s="343"/>
      <c r="M18" s="344"/>
      <c r="N18" s="345"/>
      <c r="O18" s="468">
        <f t="shared" si="0"/>
        <v>0</v>
      </c>
      <c r="P18" s="469">
        <f t="shared" si="1"/>
        <v>0</v>
      </c>
      <c r="Q18" s="36">
        <f>'t1'!M18</f>
        <v>0</v>
      </c>
    </row>
    <row r="19" spans="1:17" ht="13.5" customHeight="1">
      <c r="A19" s="158" t="str">
        <f>'t1'!A19</f>
        <v>POSIZIONE ECONOMICA A3</v>
      </c>
      <c r="B19" s="230" t="str">
        <f>'t1'!B19</f>
        <v>027000</v>
      </c>
      <c r="C19" s="341"/>
      <c r="D19" s="342"/>
      <c r="E19" s="341"/>
      <c r="F19" s="342"/>
      <c r="G19" s="341"/>
      <c r="H19" s="343"/>
      <c r="I19" s="545"/>
      <c r="J19" s="343"/>
      <c r="K19" s="545"/>
      <c r="L19" s="343"/>
      <c r="M19" s="344"/>
      <c r="N19" s="345"/>
      <c r="O19" s="468">
        <f t="shared" si="0"/>
        <v>0</v>
      </c>
      <c r="P19" s="469">
        <f t="shared" si="1"/>
        <v>0</v>
      </c>
      <c r="Q19" s="36">
        <f>'t1'!M19</f>
        <v>0</v>
      </c>
    </row>
    <row r="20" spans="1:17" ht="13.5" customHeight="1">
      <c r="A20" s="158" t="str">
        <f>'t1'!A20</f>
        <v>POSIZIONE ECONOMICA A2</v>
      </c>
      <c r="B20" s="230" t="str">
        <f>'t1'!B20</f>
        <v>025000</v>
      </c>
      <c r="C20" s="341"/>
      <c r="D20" s="342"/>
      <c r="E20" s="341"/>
      <c r="F20" s="342"/>
      <c r="G20" s="341"/>
      <c r="H20" s="343"/>
      <c r="I20" s="545"/>
      <c r="J20" s="343"/>
      <c r="K20" s="545"/>
      <c r="L20" s="343"/>
      <c r="M20" s="344"/>
      <c r="N20" s="345"/>
      <c r="O20" s="468">
        <f t="shared" si="0"/>
        <v>0</v>
      </c>
      <c r="P20" s="469">
        <f t="shared" si="1"/>
        <v>0</v>
      </c>
      <c r="Q20" s="36">
        <f>'t1'!M20</f>
        <v>0</v>
      </c>
    </row>
    <row r="21" spans="1:17" ht="13.5" customHeight="1">
      <c r="A21" s="158" t="str">
        <f>'t1'!A21</f>
        <v>POSIZIONE ECONOMICA A1</v>
      </c>
      <c r="B21" s="230" t="str">
        <f>'t1'!B21</f>
        <v>023000</v>
      </c>
      <c r="C21" s="341"/>
      <c r="D21" s="342"/>
      <c r="E21" s="341"/>
      <c r="F21" s="342"/>
      <c r="G21" s="341"/>
      <c r="H21" s="343"/>
      <c r="I21" s="545"/>
      <c r="J21" s="343"/>
      <c r="K21" s="545"/>
      <c r="L21" s="343"/>
      <c r="M21" s="344"/>
      <c r="N21" s="345"/>
      <c r="O21" s="468">
        <f t="shared" si="0"/>
        <v>0</v>
      </c>
      <c r="P21" s="469">
        <f t="shared" si="1"/>
        <v>0</v>
      </c>
      <c r="Q21" s="36">
        <f>'t1'!M21</f>
        <v>0</v>
      </c>
    </row>
    <row r="22" spans="1:17" ht="13.5" customHeight="1" thickBot="1">
      <c r="A22" s="158" t="str">
        <f>'t1'!A22</f>
        <v>CONTRATTISTI (a)</v>
      </c>
      <c r="B22" s="230" t="str">
        <f>'t1'!B22</f>
        <v>000061</v>
      </c>
      <c r="C22" s="341"/>
      <c r="D22" s="342"/>
      <c r="E22" s="341"/>
      <c r="F22" s="342"/>
      <c r="G22" s="341"/>
      <c r="H22" s="343"/>
      <c r="I22" s="545"/>
      <c r="J22" s="343"/>
      <c r="K22" s="545"/>
      <c r="L22" s="343"/>
      <c r="M22" s="344"/>
      <c r="N22" s="345"/>
      <c r="O22" s="468">
        <f t="shared" si="0"/>
        <v>0</v>
      </c>
      <c r="P22" s="469">
        <f t="shared" si="1"/>
        <v>0</v>
      </c>
      <c r="Q22" s="36">
        <f>'t1'!M22</f>
        <v>0</v>
      </c>
    </row>
    <row r="23" spans="1:16" ht="12" customHeight="1" thickBot="1" thickTop="1">
      <c r="A23" s="44" t="s">
        <v>77</v>
      </c>
      <c r="B23" s="45"/>
      <c r="C23" s="470">
        <f aca="true" t="shared" si="2" ref="C23:P23">SUM(C6:C22)</f>
        <v>0</v>
      </c>
      <c r="D23" s="471">
        <f t="shared" si="2"/>
        <v>0</v>
      </c>
      <c r="E23" s="470">
        <f t="shared" si="2"/>
        <v>0</v>
      </c>
      <c r="F23" s="471">
        <f t="shared" si="2"/>
        <v>0</v>
      </c>
      <c r="G23" s="470">
        <f t="shared" si="2"/>
        <v>0</v>
      </c>
      <c r="H23" s="471">
        <f t="shared" si="2"/>
        <v>0</v>
      </c>
      <c r="I23" s="546">
        <f t="shared" si="2"/>
        <v>0</v>
      </c>
      <c r="J23" s="471">
        <f t="shared" si="2"/>
        <v>0</v>
      </c>
      <c r="K23" s="546">
        <f t="shared" si="2"/>
        <v>0</v>
      </c>
      <c r="L23" s="471">
        <f t="shared" si="2"/>
        <v>0</v>
      </c>
      <c r="M23" s="547">
        <f t="shared" si="2"/>
        <v>0</v>
      </c>
      <c r="N23" s="471">
        <f t="shared" si="2"/>
        <v>0</v>
      </c>
      <c r="O23" s="470">
        <f t="shared" si="2"/>
        <v>0</v>
      </c>
      <c r="P23" s="471">
        <f t="shared" si="2"/>
        <v>0</v>
      </c>
    </row>
    <row r="24" spans="1:20" ht="18" customHeight="1">
      <c r="A24" s="26" t="str">
        <f>'t1'!$A$24</f>
        <v>(a) personale a tempo indeterminato al quale viene applicato un contratto di lavoro di tipo privatistico (es.:tipografico,chimico,edile,metalmeccanico,portierato, ecc.)</v>
      </c>
      <c r="B24" s="7"/>
      <c r="C24" s="5"/>
      <c r="D24" s="5"/>
      <c r="E24" s="5"/>
      <c r="F24" s="5"/>
      <c r="G24" s="5"/>
      <c r="H24" s="5"/>
      <c r="I24" s="5"/>
      <c r="J24" s="5"/>
      <c r="K24" s="5"/>
      <c r="L24" s="5"/>
      <c r="M24" s="5"/>
      <c r="N24" s="5"/>
      <c r="O24" s="81"/>
      <c r="P24" s="46"/>
      <c r="Q24" s="46"/>
      <c r="R24" s="46"/>
      <c r="S24" s="46"/>
      <c r="T24" s="46"/>
    </row>
    <row r="25" spans="1:2" s="5" customFormat="1" ht="9.75">
      <c r="A25" s="26"/>
      <c r="B25" s="7"/>
    </row>
  </sheetData>
  <sheetProtection password="EA98" sheet="1" formatColumns="0" selectLockedCells="1"/>
  <mergeCells count="6">
    <mergeCell ref="M3:P3"/>
    <mergeCell ref="A1:N1"/>
    <mergeCell ref="G4:H4"/>
    <mergeCell ref="I4:J4"/>
    <mergeCell ref="M4:N4"/>
    <mergeCell ref="K4:L4"/>
  </mergeCells>
  <conditionalFormatting sqref="A6:P22">
    <cfRule type="expression" priority="1" dxfId="3" stopIfTrue="1">
      <formula>$Q6&gt;0</formula>
    </cfRule>
  </conditionalFormatting>
  <printOptions horizontalCentered="1" verticalCentered="1"/>
  <pageMargins left="0" right="0" top="0.1968503937007874" bottom="0.15748031496062992" header="0.1968503937007874" footer="0.15748031496062992"/>
  <pageSetup horizontalDpi="600" verticalDpi="600" orientation="landscape" paperSize="9" scale="70" r:id="rId2"/>
  <drawing r:id="rId1"/>
</worksheet>
</file>

<file path=xl/worksheets/sheet13.xml><?xml version="1.0" encoding="utf-8"?>
<worksheet xmlns="http://schemas.openxmlformats.org/spreadsheetml/2006/main" xmlns:r="http://schemas.openxmlformats.org/officeDocument/2006/relationships">
  <sheetPr codeName="Foglio17"/>
  <dimension ref="A1:AZ25"/>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C6" sqref="C6"/>
    </sheetView>
  </sheetViews>
  <sheetFormatPr defaultColWidth="9.33203125" defaultRowHeight="17.25" customHeight="1"/>
  <cols>
    <col min="1" max="1" width="37.16015625" style="5" customWidth="1"/>
    <col min="2" max="2" width="8.66015625" style="7" bestFit="1" customWidth="1"/>
    <col min="3" max="26" width="7.83203125" style="5" customWidth="1"/>
    <col min="27" max="48" width="8.5" style="5" customWidth="1"/>
    <col min="49" max="49" width="15.16015625" style="752" bestFit="1" customWidth="1"/>
    <col min="50" max="51" width="8.66015625" style="5" customWidth="1"/>
    <col min="52" max="52" width="0" style="5" hidden="1" customWidth="1"/>
    <col min="53" max="16384" width="9.33203125" style="5" customWidth="1"/>
  </cols>
  <sheetData>
    <row r="1" spans="1:51" ht="43.5" customHeight="1">
      <c r="A1" s="1386" t="s">
        <v>313</v>
      </c>
      <c r="B1" s="2"/>
      <c r="C1" s="1349" t="str">
        <f>'t1'!A1</f>
        <v>CNEL - anno 2018</v>
      </c>
      <c r="D1" s="1349"/>
      <c r="E1" s="1349"/>
      <c r="F1" s="1349"/>
      <c r="G1" s="1349"/>
      <c r="H1" s="1349"/>
      <c r="I1" s="1349"/>
      <c r="J1" s="1349"/>
      <c r="K1" s="1349"/>
      <c r="L1" s="1349"/>
      <c r="M1" s="1349"/>
      <c r="N1" s="1349"/>
      <c r="O1" s="1349"/>
      <c r="P1" s="1349"/>
      <c r="Q1" s="1349"/>
      <c r="R1" s="1349"/>
      <c r="S1" s="1349"/>
      <c r="T1" s="1349"/>
      <c r="U1" s="1349"/>
      <c r="V1" s="1349"/>
      <c r="W1" s="1349"/>
      <c r="Z1" s="318"/>
      <c r="AA1" s="1349" t="str">
        <f>C1</f>
        <v>CNEL - anno 2018</v>
      </c>
      <c r="AB1" s="1349"/>
      <c r="AC1" s="1349"/>
      <c r="AD1" s="1349"/>
      <c r="AE1" s="1349"/>
      <c r="AF1" s="1349"/>
      <c r="AG1" s="1349"/>
      <c r="AH1" s="1349"/>
      <c r="AI1" s="1349"/>
      <c r="AJ1" s="1349"/>
      <c r="AK1" s="1349"/>
      <c r="AL1" s="1349"/>
      <c r="AM1" s="1349"/>
      <c r="AN1" s="1349"/>
      <c r="AO1" s="1349"/>
      <c r="AP1" s="1349"/>
      <c r="AQ1" s="1349"/>
      <c r="AR1" s="1349"/>
      <c r="AS1" s="1349"/>
      <c r="AV1" s="318"/>
      <c r="AY1" s="753"/>
    </row>
    <row r="2" spans="1:48" ht="30" customHeight="1" thickBot="1">
      <c r="A2" s="1387"/>
      <c r="S2" s="1350"/>
      <c r="T2" s="1350"/>
      <c r="U2" s="1350"/>
      <c r="V2" s="1350"/>
      <c r="W2" s="1350"/>
      <c r="X2" s="1350"/>
      <c r="Y2" s="1350"/>
      <c r="Z2" s="1350"/>
      <c r="AO2" s="1350"/>
      <c r="AP2" s="1350"/>
      <c r="AQ2" s="1350"/>
      <c r="AR2" s="1350"/>
      <c r="AS2" s="1350"/>
      <c r="AT2" s="1350"/>
      <c r="AU2" s="1350"/>
      <c r="AV2" s="1350"/>
    </row>
    <row r="3" spans="1:51" ht="10.5" thickBot="1">
      <c r="A3" s="130"/>
      <c r="B3" s="268" t="s">
        <v>254</v>
      </c>
      <c r="C3" s="131"/>
      <c r="D3" s="132"/>
      <c r="E3" s="132"/>
      <c r="F3" s="132"/>
      <c r="G3" s="132"/>
      <c r="H3" s="132"/>
      <c r="I3" s="132"/>
      <c r="J3" s="132"/>
      <c r="K3" s="132"/>
      <c r="L3" s="132"/>
      <c r="M3" s="132"/>
      <c r="N3" s="132"/>
      <c r="O3" s="132"/>
      <c r="P3" s="132"/>
      <c r="Q3" s="132"/>
      <c r="R3" s="132"/>
      <c r="S3" s="132"/>
      <c r="T3" s="132"/>
      <c r="U3" s="132"/>
      <c r="V3" s="132"/>
      <c r="W3" s="132"/>
      <c r="X3" s="277"/>
      <c r="Y3" s="277"/>
      <c r="Z3" s="133"/>
      <c r="AA3" s="277"/>
      <c r="AB3" s="277"/>
      <c r="AC3" s="277"/>
      <c r="AD3" s="277"/>
      <c r="AE3" s="277"/>
      <c r="AF3" s="277"/>
      <c r="AG3" s="277"/>
      <c r="AH3" s="277"/>
      <c r="AI3" s="277"/>
      <c r="AJ3" s="277"/>
      <c r="AK3" s="277"/>
      <c r="AL3" s="277"/>
      <c r="AM3" s="277"/>
      <c r="AN3" s="277"/>
      <c r="AO3" s="277"/>
      <c r="AP3" s="277"/>
      <c r="AQ3" s="277"/>
      <c r="AR3" s="277"/>
      <c r="AS3" s="277"/>
      <c r="AT3" s="277"/>
      <c r="AU3" s="277"/>
      <c r="AV3" s="278"/>
      <c r="AX3" s="754"/>
      <c r="AY3" s="755"/>
    </row>
    <row r="4" spans="1:51" ht="30.75" thickTop="1">
      <c r="A4" s="27" t="s">
        <v>147</v>
      </c>
      <c r="B4" s="269" t="s">
        <v>114</v>
      </c>
      <c r="C4" s="134" t="s">
        <v>294</v>
      </c>
      <c r="D4" s="135"/>
      <c r="E4" s="136" t="s">
        <v>391</v>
      </c>
      <c r="F4" s="135"/>
      <c r="G4" s="1331" t="s">
        <v>128</v>
      </c>
      <c r="H4" s="1388"/>
      <c r="I4" s="136" t="s">
        <v>129</v>
      </c>
      <c r="J4" s="136"/>
      <c r="K4" s="136" t="s">
        <v>126</v>
      </c>
      <c r="L4" s="136"/>
      <c r="M4" s="136" t="s">
        <v>120</v>
      </c>
      <c r="N4" s="137"/>
      <c r="O4" s="136" t="s">
        <v>295</v>
      </c>
      <c r="P4" s="136"/>
      <c r="Q4" s="136" t="s">
        <v>124</v>
      </c>
      <c r="R4" s="135"/>
      <c r="S4" s="270" t="s">
        <v>119</v>
      </c>
      <c r="T4" s="136"/>
      <c r="U4" s="136" t="s">
        <v>117</v>
      </c>
      <c r="V4" s="139"/>
      <c r="W4" s="136" t="s">
        <v>123</v>
      </c>
      <c r="X4" s="138"/>
      <c r="Y4" s="136" t="s">
        <v>125</v>
      </c>
      <c r="Z4" s="138"/>
      <c r="AA4" s="136" t="s">
        <v>116</v>
      </c>
      <c r="AB4" s="138"/>
      <c r="AC4" s="136" t="s">
        <v>127</v>
      </c>
      <c r="AD4" s="139"/>
      <c r="AE4" s="136" t="s">
        <v>131</v>
      </c>
      <c r="AF4" s="136"/>
      <c r="AG4" s="136" t="s">
        <v>130</v>
      </c>
      <c r="AH4" s="140"/>
      <c r="AI4" s="136" t="s">
        <v>121</v>
      </c>
      <c r="AJ4" s="139"/>
      <c r="AK4" s="136" t="s">
        <v>122</v>
      </c>
      <c r="AL4" s="136"/>
      <c r="AM4" s="136" t="s">
        <v>115</v>
      </c>
      <c r="AN4" s="139"/>
      <c r="AO4" s="136" t="s">
        <v>118</v>
      </c>
      <c r="AP4" s="138"/>
      <c r="AQ4" s="136" t="s">
        <v>296</v>
      </c>
      <c r="AR4" s="138"/>
      <c r="AS4" s="139" t="s">
        <v>297</v>
      </c>
      <c r="AT4" s="134"/>
      <c r="AU4" s="139" t="s">
        <v>77</v>
      </c>
      <c r="AV4" s="140"/>
      <c r="AX4" s="756" t="s">
        <v>573</v>
      </c>
      <c r="AY4" s="757"/>
    </row>
    <row r="5" spans="1:51" s="276" customFormat="1" ht="8.25" thickBot="1">
      <c r="A5" s="896" t="s">
        <v>645</v>
      </c>
      <c r="B5" s="271"/>
      <c r="C5" s="272" t="s">
        <v>75</v>
      </c>
      <c r="D5" s="273" t="s">
        <v>76</v>
      </c>
      <c r="E5" s="272" t="s">
        <v>75</v>
      </c>
      <c r="F5" s="273" t="s">
        <v>76</v>
      </c>
      <c r="G5" s="272" t="s">
        <v>75</v>
      </c>
      <c r="H5" s="273" t="s">
        <v>76</v>
      </c>
      <c r="I5" s="272" t="s">
        <v>75</v>
      </c>
      <c r="J5" s="273" t="s">
        <v>76</v>
      </c>
      <c r="K5" s="272" t="s">
        <v>75</v>
      </c>
      <c r="L5" s="273" t="s">
        <v>76</v>
      </c>
      <c r="M5" s="272" t="s">
        <v>75</v>
      </c>
      <c r="N5" s="274" t="s">
        <v>76</v>
      </c>
      <c r="O5" s="272" t="s">
        <v>75</v>
      </c>
      <c r="P5" s="274" t="s">
        <v>76</v>
      </c>
      <c r="Q5" s="272" t="s">
        <v>75</v>
      </c>
      <c r="R5" s="274" t="s">
        <v>76</v>
      </c>
      <c r="S5" s="272" t="s">
        <v>75</v>
      </c>
      <c r="T5" s="274" t="s">
        <v>76</v>
      </c>
      <c r="U5" s="272" t="s">
        <v>75</v>
      </c>
      <c r="V5" s="274" t="s">
        <v>76</v>
      </c>
      <c r="W5" s="272" t="s">
        <v>75</v>
      </c>
      <c r="X5" s="273" t="s">
        <v>76</v>
      </c>
      <c r="Y5" s="272" t="s">
        <v>75</v>
      </c>
      <c r="Z5" s="273" t="s">
        <v>76</v>
      </c>
      <c r="AA5" s="272" t="s">
        <v>75</v>
      </c>
      <c r="AB5" s="273" t="s">
        <v>76</v>
      </c>
      <c r="AC5" s="272" t="s">
        <v>75</v>
      </c>
      <c r="AD5" s="274" t="s">
        <v>76</v>
      </c>
      <c r="AE5" s="272" t="s">
        <v>75</v>
      </c>
      <c r="AF5" s="274" t="s">
        <v>76</v>
      </c>
      <c r="AG5" s="272" t="s">
        <v>75</v>
      </c>
      <c r="AH5" s="274" t="s">
        <v>76</v>
      </c>
      <c r="AI5" s="272" t="s">
        <v>75</v>
      </c>
      <c r="AJ5" s="274" t="s">
        <v>76</v>
      </c>
      <c r="AK5" s="272" t="s">
        <v>75</v>
      </c>
      <c r="AL5" s="274" t="s">
        <v>76</v>
      </c>
      <c r="AM5" s="272" t="s">
        <v>75</v>
      </c>
      <c r="AN5" s="274" t="s">
        <v>76</v>
      </c>
      <c r="AO5" s="272" t="s">
        <v>75</v>
      </c>
      <c r="AP5" s="273" t="s">
        <v>76</v>
      </c>
      <c r="AQ5" s="272" t="s">
        <v>75</v>
      </c>
      <c r="AR5" s="273" t="s">
        <v>76</v>
      </c>
      <c r="AS5" s="275" t="s">
        <v>75</v>
      </c>
      <c r="AT5" s="273" t="s">
        <v>76</v>
      </c>
      <c r="AU5" s="275" t="s">
        <v>75</v>
      </c>
      <c r="AV5" s="274" t="s">
        <v>76</v>
      </c>
      <c r="AW5" s="758"/>
      <c r="AX5" s="759" t="s">
        <v>75</v>
      </c>
      <c r="AY5" s="760" t="s">
        <v>76</v>
      </c>
    </row>
    <row r="6" spans="1:52" ht="12.75" customHeight="1" thickTop="1">
      <c r="A6" s="25" t="str">
        <f>'t1'!A6</f>
        <v>DIRIGENTE I FASCIA</v>
      </c>
      <c r="B6" s="237" t="str">
        <f>'t1'!B6</f>
        <v>0D0077</v>
      </c>
      <c r="C6" s="736"/>
      <c r="D6" s="737"/>
      <c r="E6" s="736"/>
      <c r="F6" s="737"/>
      <c r="G6" s="736"/>
      <c r="H6" s="737"/>
      <c r="I6" s="736"/>
      <c r="J6" s="737"/>
      <c r="K6" s="736"/>
      <c r="L6" s="737"/>
      <c r="M6" s="736"/>
      <c r="N6" s="737"/>
      <c r="O6" s="736"/>
      <c r="P6" s="737"/>
      <c r="Q6" s="736"/>
      <c r="R6" s="737"/>
      <c r="S6" s="736"/>
      <c r="T6" s="737"/>
      <c r="U6" s="736"/>
      <c r="V6" s="737"/>
      <c r="W6" s="736"/>
      <c r="X6" s="737"/>
      <c r="Y6" s="736"/>
      <c r="Z6" s="737"/>
      <c r="AA6" s="736"/>
      <c r="AB6" s="737"/>
      <c r="AC6" s="736"/>
      <c r="AD6" s="737"/>
      <c r="AE6" s="736"/>
      <c r="AF6" s="737"/>
      <c r="AG6" s="736"/>
      <c r="AH6" s="737"/>
      <c r="AI6" s="736"/>
      <c r="AJ6" s="737"/>
      <c r="AK6" s="736"/>
      <c r="AL6" s="737"/>
      <c r="AM6" s="736"/>
      <c r="AN6" s="737"/>
      <c r="AO6" s="736"/>
      <c r="AP6" s="737"/>
      <c r="AQ6" s="736"/>
      <c r="AR6" s="737"/>
      <c r="AS6" s="736"/>
      <c r="AT6" s="737"/>
      <c r="AU6" s="472">
        <f>SUM(S6,U6,W6,Y6,C6,E6,G6,I6,K6,M6,O6,Q6,AA6,AC6,AE6,AG6,AI6,AK6,AM6,AO6,AQ6,AS6)</f>
        <v>0</v>
      </c>
      <c r="AV6" s="473">
        <f>SUM(T6,V6,X6,Z6,D6,F6,H6,J6,L6,N6,P6,R6,AB6,AD6,AF6,AH6,AJ6,AL6,AN6,AP6,AR6,AT6)</f>
        <v>0</v>
      </c>
      <c r="AW6" s="761" t="str">
        <f>IF((AU6+AV6)=(AX6+AY6),"OK","Controllare totale")</f>
        <v>OK</v>
      </c>
      <c r="AX6" s="762">
        <f>'t1'!K6-'t3'!C6-'t3'!E6-'t3'!G6-'t3'!I6-'t3'!K6+'t3'!M6+'t3'!O6+'t3'!Q6</f>
        <v>0</v>
      </c>
      <c r="AY6" s="763">
        <f>'t1'!L6-'t3'!D6-'t3'!F6-'t3'!H6-'t3'!J6-'t3'!L6+'t3'!N6+'t3'!P6+'t3'!R6</f>
        <v>0</v>
      </c>
      <c r="AZ6" s="5">
        <f>'t1'!M6</f>
        <v>0</v>
      </c>
    </row>
    <row r="7" spans="1:52" ht="12.75" customHeight="1">
      <c r="A7" s="24" t="str">
        <f>'t1'!A7</f>
        <v>DIRIGENTE I FASCIA A TEMPO DETERM.</v>
      </c>
      <c r="B7" s="157" t="str">
        <f>'t1'!B7</f>
        <v>0D0078</v>
      </c>
      <c r="C7" s="738"/>
      <c r="D7" s="256"/>
      <c r="E7" s="738"/>
      <c r="F7" s="256"/>
      <c r="G7" s="738"/>
      <c r="H7" s="256"/>
      <c r="I7" s="738"/>
      <c r="J7" s="256"/>
      <c r="K7" s="738"/>
      <c r="L7" s="256"/>
      <c r="M7" s="738"/>
      <c r="N7" s="256"/>
      <c r="O7" s="738"/>
      <c r="P7" s="256"/>
      <c r="Q7" s="738"/>
      <c r="R7" s="256"/>
      <c r="S7" s="738"/>
      <c r="T7" s="256"/>
      <c r="U7" s="738"/>
      <c r="V7" s="256"/>
      <c r="W7" s="738"/>
      <c r="X7" s="256"/>
      <c r="Y7" s="738"/>
      <c r="Z7" s="256"/>
      <c r="AA7" s="738"/>
      <c r="AB7" s="256"/>
      <c r="AC7" s="738"/>
      <c r="AD7" s="256"/>
      <c r="AE7" s="738"/>
      <c r="AF7" s="256"/>
      <c r="AG7" s="738"/>
      <c r="AH7" s="256"/>
      <c r="AI7" s="738"/>
      <c r="AJ7" s="256"/>
      <c r="AK7" s="738"/>
      <c r="AL7" s="256"/>
      <c r="AM7" s="738"/>
      <c r="AN7" s="256"/>
      <c r="AO7" s="738"/>
      <c r="AP7" s="256"/>
      <c r="AQ7" s="738"/>
      <c r="AR7" s="256"/>
      <c r="AS7" s="738"/>
      <c r="AT7" s="256"/>
      <c r="AU7" s="474">
        <f>SUM(C7,E7,G7,I7,K7,M7,O7,Q7,S7,U7,W7,Y7,AA7,AC7,AE7,AG7,AI7,AK7,AM7,AO7,AQ7,AS7)</f>
        <v>0</v>
      </c>
      <c r="AV7" s="475">
        <f aca="true" t="shared" si="0" ref="AV7:AV22">SUM(T7,V7,X7,Z7,D7,F7,H7,J7,L7,N7,P7,R7,AB7,AD7,AF7,AH7,AJ7,AL7,AN7,AP7,AR7,AT7)</f>
        <v>0</v>
      </c>
      <c r="AW7" s="761" t="str">
        <f aca="true" t="shared" si="1" ref="AW7:AW22">IF((AU7+AV7)=(AX7+AY7),"OK","Controllare totale")</f>
        <v>OK</v>
      </c>
      <c r="AX7" s="764">
        <f>'t1'!K7-'t3'!C7-'t3'!E7-'t3'!G7-'t3'!I7-'t3'!K7+'t3'!M7+'t3'!O7+'t3'!Q7</f>
        <v>0</v>
      </c>
      <c r="AY7" s="765">
        <f>'t1'!L7-'t3'!D7-'t3'!F7-'t3'!H7-'t3'!J7-'t3'!L7+'t3'!N7+'t3'!P7+'t3'!R7</f>
        <v>0</v>
      </c>
      <c r="AZ7" s="5">
        <f>'t1'!M7</f>
        <v>0</v>
      </c>
    </row>
    <row r="8" spans="1:52" ht="12.75" customHeight="1">
      <c r="A8" s="24" t="str">
        <f>'t1'!A8</f>
        <v>DIRIGENTE II FASCIA</v>
      </c>
      <c r="B8" s="157" t="str">
        <f>'t1'!B8</f>
        <v>0D0079</v>
      </c>
      <c r="C8" s="738"/>
      <c r="D8" s="256"/>
      <c r="E8" s="738"/>
      <c r="F8" s="256"/>
      <c r="G8" s="738"/>
      <c r="H8" s="256"/>
      <c r="I8" s="738"/>
      <c r="J8" s="256"/>
      <c r="K8" s="738"/>
      <c r="L8" s="256"/>
      <c r="M8" s="738"/>
      <c r="N8" s="256"/>
      <c r="O8" s="738"/>
      <c r="P8" s="256"/>
      <c r="Q8" s="738"/>
      <c r="R8" s="256"/>
      <c r="S8" s="738"/>
      <c r="T8" s="256"/>
      <c r="U8" s="738"/>
      <c r="V8" s="256"/>
      <c r="W8" s="738"/>
      <c r="X8" s="256"/>
      <c r="Y8" s="738"/>
      <c r="Z8" s="256"/>
      <c r="AA8" s="738"/>
      <c r="AB8" s="256"/>
      <c r="AC8" s="738"/>
      <c r="AD8" s="256"/>
      <c r="AE8" s="738"/>
      <c r="AF8" s="256"/>
      <c r="AG8" s="738"/>
      <c r="AH8" s="256"/>
      <c r="AI8" s="738"/>
      <c r="AJ8" s="256"/>
      <c r="AK8" s="738"/>
      <c r="AL8" s="256"/>
      <c r="AM8" s="738"/>
      <c r="AN8" s="256"/>
      <c r="AO8" s="738"/>
      <c r="AP8" s="256"/>
      <c r="AQ8" s="738"/>
      <c r="AR8" s="256"/>
      <c r="AS8" s="738"/>
      <c r="AT8" s="256"/>
      <c r="AU8" s="474">
        <f>SUM(S8,U8,W8,Y8,C8,E8,G8,I8,K8,M8,O8,Q8,AA8,AC8,AE8,AG8,AI8,AK8,AM8,AO8,AQ8,AS8)</f>
        <v>0</v>
      </c>
      <c r="AV8" s="475">
        <f t="shared" si="0"/>
        <v>0</v>
      </c>
      <c r="AW8" s="761" t="str">
        <f t="shared" si="1"/>
        <v>OK</v>
      </c>
      <c r="AX8" s="764">
        <f>'t1'!K8-'t3'!C8-'t3'!E8-'t3'!G8-'t3'!I8-'t3'!K8+'t3'!M8+'t3'!O8+'t3'!Q8</f>
        <v>0</v>
      </c>
      <c r="AY8" s="765">
        <f>'t1'!L8-'t3'!D8-'t3'!F8-'t3'!H8-'t3'!J8-'t3'!L8+'t3'!N8+'t3'!P8+'t3'!R8</f>
        <v>0</v>
      </c>
      <c r="AZ8" s="5">
        <f>'t1'!M8</f>
        <v>0</v>
      </c>
    </row>
    <row r="9" spans="1:52" ht="12.75" customHeight="1">
      <c r="A9" s="24" t="str">
        <f>'t1'!A9</f>
        <v>DIRIGENTE II FASCIA A TEMPO DETERM.</v>
      </c>
      <c r="B9" s="157" t="str">
        <f>'t1'!B9</f>
        <v>0D0080</v>
      </c>
      <c r="C9" s="738"/>
      <c r="D9" s="256"/>
      <c r="E9" s="738"/>
      <c r="F9" s="256"/>
      <c r="G9" s="738"/>
      <c r="H9" s="256"/>
      <c r="I9" s="738"/>
      <c r="J9" s="256"/>
      <c r="K9" s="738"/>
      <c r="L9" s="256"/>
      <c r="M9" s="738"/>
      <c r="N9" s="256"/>
      <c r="O9" s="738"/>
      <c r="P9" s="256"/>
      <c r="Q9" s="738"/>
      <c r="R9" s="256"/>
      <c r="S9" s="738"/>
      <c r="T9" s="256"/>
      <c r="U9" s="738"/>
      <c r="V9" s="256"/>
      <c r="W9" s="738"/>
      <c r="X9" s="256"/>
      <c r="Y9" s="738"/>
      <c r="Z9" s="256"/>
      <c r="AA9" s="738"/>
      <c r="AB9" s="256"/>
      <c r="AC9" s="738"/>
      <c r="AD9" s="256"/>
      <c r="AE9" s="738"/>
      <c r="AF9" s="256"/>
      <c r="AG9" s="738"/>
      <c r="AH9" s="256"/>
      <c r="AI9" s="738"/>
      <c r="AJ9" s="256"/>
      <c r="AK9" s="738"/>
      <c r="AL9" s="256"/>
      <c r="AM9" s="738"/>
      <c r="AN9" s="256"/>
      <c r="AO9" s="738"/>
      <c r="AP9" s="256"/>
      <c r="AQ9" s="738"/>
      <c r="AR9" s="256"/>
      <c r="AS9" s="738"/>
      <c r="AT9" s="256"/>
      <c r="AU9" s="474">
        <f aca="true" t="shared" si="2" ref="AU9:AU22">SUM(S9,U9,W9,Y9,C9,E9,G9,I9,K9,M9,O9,Q9,AA9,AC9,AE9,AG9,AI9,AK9,AM9,AO9,AQ9,AS9)</f>
        <v>0</v>
      </c>
      <c r="AV9" s="475">
        <f t="shared" si="0"/>
        <v>0</v>
      </c>
      <c r="AW9" s="761" t="str">
        <f t="shared" si="1"/>
        <v>OK</v>
      </c>
      <c r="AX9" s="764">
        <f>'t1'!K9-'t3'!C9-'t3'!E9-'t3'!G9-'t3'!I9-'t3'!K9+'t3'!M9+'t3'!O9+'t3'!Q9</f>
        <v>0</v>
      </c>
      <c r="AY9" s="765">
        <f>'t1'!L9-'t3'!D9-'t3'!F9-'t3'!H9-'t3'!J9-'t3'!L9+'t3'!N9+'t3'!P9+'t3'!R9</f>
        <v>0</v>
      </c>
      <c r="AZ9" s="5">
        <f>'t1'!M9</f>
        <v>0</v>
      </c>
    </row>
    <row r="10" spans="1:52" ht="12.75" customHeight="1">
      <c r="A10" s="24" t="str">
        <f>'t1'!A10</f>
        <v>POSIZIONE ECONOMICA C5</v>
      </c>
      <c r="B10" s="157" t="str">
        <f>'t1'!B10</f>
        <v>046000</v>
      </c>
      <c r="C10" s="738"/>
      <c r="D10" s="256"/>
      <c r="E10" s="738"/>
      <c r="F10" s="256"/>
      <c r="G10" s="738"/>
      <c r="H10" s="256"/>
      <c r="I10" s="738"/>
      <c r="J10" s="256"/>
      <c r="K10" s="738"/>
      <c r="L10" s="256"/>
      <c r="M10" s="738"/>
      <c r="N10" s="256"/>
      <c r="O10" s="738"/>
      <c r="P10" s="256"/>
      <c r="Q10" s="738"/>
      <c r="R10" s="256"/>
      <c r="S10" s="738"/>
      <c r="T10" s="256"/>
      <c r="U10" s="738"/>
      <c r="V10" s="256"/>
      <c r="W10" s="738"/>
      <c r="X10" s="256"/>
      <c r="Y10" s="738"/>
      <c r="Z10" s="256"/>
      <c r="AA10" s="738"/>
      <c r="AB10" s="256"/>
      <c r="AC10" s="738"/>
      <c r="AD10" s="256"/>
      <c r="AE10" s="738"/>
      <c r="AF10" s="256"/>
      <c r="AG10" s="738"/>
      <c r="AH10" s="256"/>
      <c r="AI10" s="738"/>
      <c r="AJ10" s="256"/>
      <c r="AK10" s="738"/>
      <c r="AL10" s="256"/>
      <c r="AM10" s="738"/>
      <c r="AN10" s="256"/>
      <c r="AO10" s="738"/>
      <c r="AP10" s="256"/>
      <c r="AQ10" s="738"/>
      <c r="AR10" s="256"/>
      <c r="AS10" s="738"/>
      <c r="AT10" s="256"/>
      <c r="AU10" s="474">
        <f t="shared" si="2"/>
        <v>0</v>
      </c>
      <c r="AV10" s="475">
        <f t="shared" si="0"/>
        <v>0</v>
      </c>
      <c r="AW10" s="761" t="str">
        <f t="shared" si="1"/>
        <v>OK</v>
      </c>
      <c r="AX10" s="764">
        <f>'t1'!K10-'t3'!C10-'t3'!E10-'t3'!G10-'t3'!I10-'t3'!K10+'t3'!M10+'t3'!O10+'t3'!Q10</f>
        <v>0</v>
      </c>
      <c r="AY10" s="765">
        <f>'t1'!L10-'t3'!D10-'t3'!F10-'t3'!H10-'t3'!J10-'t3'!L10+'t3'!N10+'t3'!P10+'t3'!R10</f>
        <v>0</v>
      </c>
      <c r="AZ10" s="5">
        <f>'t1'!M10</f>
        <v>0</v>
      </c>
    </row>
    <row r="11" spans="1:52" ht="12.75" customHeight="1">
      <c r="A11" s="24" t="str">
        <f>'t1'!A11</f>
        <v>POSIZIONE ECONOMICA C4</v>
      </c>
      <c r="B11" s="157" t="str">
        <f>'t1'!B11</f>
        <v>045000</v>
      </c>
      <c r="C11" s="738"/>
      <c r="D11" s="256"/>
      <c r="E11" s="738"/>
      <c r="F11" s="256"/>
      <c r="G11" s="738"/>
      <c r="H11" s="256"/>
      <c r="I11" s="738"/>
      <c r="J11" s="256"/>
      <c r="K11" s="738"/>
      <c r="L11" s="256"/>
      <c r="M11" s="738"/>
      <c r="N11" s="256"/>
      <c r="O11" s="738"/>
      <c r="P11" s="256"/>
      <c r="Q11" s="738"/>
      <c r="R11" s="256"/>
      <c r="S11" s="738"/>
      <c r="T11" s="256"/>
      <c r="U11" s="738"/>
      <c r="V11" s="256"/>
      <c r="W11" s="738"/>
      <c r="X11" s="256"/>
      <c r="Y11" s="738"/>
      <c r="Z11" s="256"/>
      <c r="AA11" s="738"/>
      <c r="AB11" s="256"/>
      <c r="AC11" s="738"/>
      <c r="AD11" s="256"/>
      <c r="AE11" s="738"/>
      <c r="AF11" s="256"/>
      <c r="AG11" s="738"/>
      <c r="AH11" s="256"/>
      <c r="AI11" s="738"/>
      <c r="AJ11" s="256"/>
      <c r="AK11" s="738"/>
      <c r="AL11" s="256"/>
      <c r="AM11" s="738"/>
      <c r="AN11" s="256"/>
      <c r="AO11" s="738"/>
      <c r="AP11" s="256"/>
      <c r="AQ11" s="738"/>
      <c r="AR11" s="256"/>
      <c r="AS11" s="738"/>
      <c r="AT11" s="256"/>
      <c r="AU11" s="474">
        <f t="shared" si="2"/>
        <v>0</v>
      </c>
      <c r="AV11" s="475">
        <f t="shared" si="0"/>
        <v>0</v>
      </c>
      <c r="AW11" s="761" t="str">
        <f t="shared" si="1"/>
        <v>OK</v>
      </c>
      <c r="AX11" s="764">
        <f>'t1'!K11-'t3'!C11-'t3'!E11-'t3'!G11-'t3'!I11-'t3'!K11+'t3'!M11+'t3'!O11+'t3'!Q11</f>
        <v>0</v>
      </c>
      <c r="AY11" s="765">
        <f>'t1'!L11-'t3'!D11-'t3'!F11-'t3'!H11-'t3'!J11-'t3'!L11+'t3'!N11+'t3'!P11+'t3'!R11</f>
        <v>0</v>
      </c>
      <c r="AZ11" s="5">
        <f>'t1'!M11</f>
        <v>0</v>
      </c>
    </row>
    <row r="12" spans="1:52" ht="12.75" customHeight="1">
      <c r="A12" s="24" t="str">
        <f>'t1'!A12</f>
        <v>POSIZIONE ECONOMICA C3</v>
      </c>
      <c r="B12" s="157" t="str">
        <f>'t1'!B12</f>
        <v>043000</v>
      </c>
      <c r="C12" s="738"/>
      <c r="D12" s="256"/>
      <c r="E12" s="738"/>
      <c r="F12" s="256"/>
      <c r="G12" s="738"/>
      <c r="H12" s="256"/>
      <c r="I12" s="738"/>
      <c r="J12" s="256"/>
      <c r="K12" s="738"/>
      <c r="L12" s="256"/>
      <c r="M12" s="738"/>
      <c r="N12" s="256"/>
      <c r="O12" s="738"/>
      <c r="P12" s="256"/>
      <c r="Q12" s="738"/>
      <c r="R12" s="256"/>
      <c r="S12" s="738"/>
      <c r="T12" s="256"/>
      <c r="U12" s="738"/>
      <c r="V12" s="256"/>
      <c r="W12" s="738"/>
      <c r="X12" s="256"/>
      <c r="Y12" s="738"/>
      <c r="Z12" s="256"/>
      <c r="AA12" s="738"/>
      <c r="AB12" s="256"/>
      <c r="AC12" s="738"/>
      <c r="AD12" s="256"/>
      <c r="AE12" s="738"/>
      <c r="AF12" s="256"/>
      <c r="AG12" s="738"/>
      <c r="AH12" s="256"/>
      <c r="AI12" s="738"/>
      <c r="AJ12" s="256"/>
      <c r="AK12" s="738"/>
      <c r="AL12" s="256"/>
      <c r="AM12" s="738"/>
      <c r="AN12" s="256"/>
      <c r="AO12" s="738"/>
      <c r="AP12" s="256"/>
      <c r="AQ12" s="738"/>
      <c r="AR12" s="256"/>
      <c r="AS12" s="738"/>
      <c r="AT12" s="256"/>
      <c r="AU12" s="474">
        <f t="shared" si="2"/>
        <v>0</v>
      </c>
      <c r="AV12" s="475">
        <f t="shared" si="0"/>
        <v>0</v>
      </c>
      <c r="AW12" s="761" t="str">
        <f t="shared" si="1"/>
        <v>OK</v>
      </c>
      <c r="AX12" s="764">
        <f>'t1'!K12-'t3'!C12-'t3'!E12-'t3'!G12-'t3'!I12-'t3'!K12+'t3'!M12+'t3'!O12+'t3'!Q12</f>
        <v>0</v>
      </c>
      <c r="AY12" s="765">
        <f>'t1'!L12-'t3'!D12-'t3'!F12-'t3'!H12-'t3'!J12-'t3'!L12+'t3'!N12+'t3'!P12+'t3'!R12</f>
        <v>0</v>
      </c>
      <c r="AZ12" s="5">
        <f>'t1'!M12</f>
        <v>0</v>
      </c>
    </row>
    <row r="13" spans="1:52" ht="12.75" customHeight="1">
      <c r="A13" s="24" t="str">
        <f>'t1'!A13</f>
        <v>POSIZIONE ECONOMICA C2</v>
      </c>
      <c r="B13" s="157" t="str">
        <f>'t1'!B13</f>
        <v>042000</v>
      </c>
      <c r="C13" s="738"/>
      <c r="D13" s="256"/>
      <c r="E13" s="738"/>
      <c r="F13" s="256"/>
      <c r="G13" s="738"/>
      <c r="H13" s="256"/>
      <c r="I13" s="738"/>
      <c r="J13" s="256"/>
      <c r="K13" s="738"/>
      <c r="L13" s="256"/>
      <c r="M13" s="738"/>
      <c r="N13" s="256"/>
      <c r="O13" s="738"/>
      <c r="P13" s="256"/>
      <c r="Q13" s="738"/>
      <c r="R13" s="256"/>
      <c r="S13" s="738"/>
      <c r="T13" s="256"/>
      <c r="U13" s="738"/>
      <c r="V13" s="256"/>
      <c r="W13" s="738"/>
      <c r="X13" s="256"/>
      <c r="Y13" s="738"/>
      <c r="Z13" s="256"/>
      <c r="AA13" s="738"/>
      <c r="AB13" s="256"/>
      <c r="AC13" s="738"/>
      <c r="AD13" s="256"/>
      <c r="AE13" s="738"/>
      <c r="AF13" s="256"/>
      <c r="AG13" s="738"/>
      <c r="AH13" s="256"/>
      <c r="AI13" s="738"/>
      <c r="AJ13" s="256"/>
      <c r="AK13" s="738"/>
      <c r="AL13" s="256"/>
      <c r="AM13" s="738"/>
      <c r="AN13" s="256"/>
      <c r="AO13" s="738"/>
      <c r="AP13" s="256"/>
      <c r="AQ13" s="738"/>
      <c r="AR13" s="256"/>
      <c r="AS13" s="738"/>
      <c r="AT13" s="256"/>
      <c r="AU13" s="474">
        <f t="shared" si="2"/>
        <v>0</v>
      </c>
      <c r="AV13" s="475">
        <f t="shared" si="0"/>
        <v>0</v>
      </c>
      <c r="AW13" s="761" t="str">
        <f t="shared" si="1"/>
        <v>OK</v>
      </c>
      <c r="AX13" s="764">
        <f>'t1'!K13-'t3'!C13-'t3'!E13-'t3'!G13-'t3'!I13-'t3'!K13+'t3'!M13+'t3'!O13+'t3'!Q13</f>
        <v>0</v>
      </c>
      <c r="AY13" s="765">
        <f>'t1'!L13-'t3'!D13-'t3'!F13-'t3'!H13-'t3'!J13-'t3'!L13+'t3'!N13+'t3'!P13+'t3'!R13</f>
        <v>0</v>
      </c>
      <c r="AZ13" s="5">
        <f>'t1'!M13</f>
        <v>0</v>
      </c>
    </row>
    <row r="14" spans="1:52" ht="12.75" customHeight="1">
      <c r="A14" s="24" t="str">
        <f>'t1'!A14</f>
        <v>POSIZIONE ECONOMICA C1</v>
      </c>
      <c r="B14" s="157" t="str">
        <f>'t1'!B14</f>
        <v>040000</v>
      </c>
      <c r="C14" s="738"/>
      <c r="D14" s="256"/>
      <c r="E14" s="738"/>
      <c r="F14" s="256"/>
      <c r="G14" s="738"/>
      <c r="H14" s="256"/>
      <c r="I14" s="738"/>
      <c r="J14" s="256"/>
      <c r="K14" s="738"/>
      <c r="L14" s="256"/>
      <c r="M14" s="738"/>
      <c r="N14" s="256"/>
      <c r="O14" s="738"/>
      <c r="P14" s="256"/>
      <c r="Q14" s="738"/>
      <c r="R14" s="256"/>
      <c r="S14" s="738"/>
      <c r="T14" s="256"/>
      <c r="U14" s="738"/>
      <c r="V14" s="256"/>
      <c r="W14" s="738"/>
      <c r="X14" s="256"/>
      <c r="Y14" s="738"/>
      <c r="Z14" s="256"/>
      <c r="AA14" s="738"/>
      <c r="AB14" s="256"/>
      <c r="AC14" s="738"/>
      <c r="AD14" s="256"/>
      <c r="AE14" s="738"/>
      <c r="AF14" s="256"/>
      <c r="AG14" s="738"/>
      <c r="AH14" s="256"/>
      <c r="AI14" s="738"/>
      <c r="AJ14" s="256"/>
      <c r="AK14" s="738"/>
      <c r="AL14" s="256"/>
      <c r="AM14" s="738"/>
      <c r="AN14" s="256"/>
      <c r="AO14" s="738"/>
      <c r="AP14" s="256"/>
      <c r="AQ14" s="738"/>
      <c r="AR14" s="256"/>
      <c r="AS14" s="738"/>
      <c r="AT14" s="256"/>
      <c r="AU14" s="474">
        <f t="shared" si="2"/>
        <v>0</v>
      </c>
      <c r="AV14" s="475">
        <f t="shared" si="0"/>
        <v>0</v>
      </c>
      <c r="AW14" s="761" t="str">
        <f t="shared" si="1"/>
        <v>OK</v>
      </c>
      <c r="AX14" s="764">
        <f>'t1'!K14-'t3'!C14-'t3'!E14-'t3'!G14-'t3'!I14-'t3'!K14+'t3'!M14+'t3'!O14+'t3'!Q14</f>
        <v>0</v>
      </c>
      <c r="AY14" s="765">
        <f>'t1'!L14-'t3'!D14-'t3'!F14-'t3'!H14-'t3'!J14-'t3'!L14+'t3'!N14+'t3'!P14+'t3'!R14</f>
        <v>0</v>
      </c>
      <c r="AZ14" s="5">
        <f>'t1'!M14</f>
        <v>0</v>
      </c>
    </row>
    <row r="15" spans="1:52" ht="12.75" customHeight="1">
      <c r="A15" s="24" t="str">
        <f>'t1'!A15</f>
        <v>POSIZIONE ECONOMICA B4</v>
      </c>
      <c r="B15" s="157" t="str">
        <f>'t1'!B15</f>
        <v>036000</v>
      </c>
      <c r="C15" s="738"/>
      <c r="D15" s="256"/>
      <c r="E15" s="738"/>
      <c r="F15" s="256"/>
      <c r="G15" s="738"/>
      <c r="H15" s="256"/>
      <c r="I15" s="738"/>
      <c r="J15" s="256"/>
      <c r="K15" s="738"/>
      <c r="L15" s="256"/>
      <c r="M15" s="738"/>
      <c r="N15" s="256"/>
      <c r="O15" s="738"/>
      <c r="P15" s="256"/>
      <c r="Q15" s="738"/>
      <c r="R15" s="256"/>
      <c r="S15" s="738"/>
      <c r="T15" s="256"/>
      <c r="U15" s="738"/>
      <c r="V15" s="256"/>
      <c r="W15" s="738"/>
      <c r="X15" s="256"/>
      <c r="Y15" s="738"/>
      <c r="Z15" s="256"/>
      <c r="AA15" s="738"/>
      <c r="AB15" s="256"/>
      <c r="AC15" s="738"/>
      <c r="AD15" s="256"/>
      <c r="AE15" s="738"/>
      <c r="AF15" s="256"/>
      <c r="AG15" s="738"/>
      <c r="AH15" s="256"/>
      <c r="AI15" s="738"/>
      <c r="AJ15" s="256"/>
      <c r="AK15" s="738"/>
      <c r="AL15" s="256"/>
      <c r="AM15" s="738"/>
      <c r="AN15" s="256"/>
      <c r="AO15" s="738"/>
      <c r="AP15" s="256"/>
      <c r="AQ15" s="738"/>
      <c r="AR15" s="256"/>
      <c r="AS15" s="738"/>
      <c r="AT15" s="256"/>
      <c r="AU15" s="474">
        <f t="shared" si="2"/>
        <v>0</v>
      </c>
      <c r="AV15" s="475">
        <f t="shared" si="0"/>
        <v>0</v>
      </c>
      <c r="AW15" s="761" t="str">
        <f t="shared" si="1"/>
        <v>OK</v>
      </c>
      <c r="AX15" s="764">
        <f>'t1'!K15-'t3'!C15-'t3'!E15-'t3'!G15-'t3'!I15-'t3'!K15+'t3'!M15+'t3'!O15+'t3'!Q15</f>
        <v>0</v>
      </c>
      <c r="AY15" s="765">
        <f>'t1'!L15-'t3'!D15-'t3'!F15-'t3'!H15-'t3'!J15-'t3'!L15+'t3'!N15+'t3'!P15+'t3'!R15</f>
        <v>0</v>
      </c>
      <c r="AZ15" s="5">
        <f>'t1'!M15</f>
        <v>0</v>
      </c>
    </row>
    <row r="16" spans="1:52" ht="12.75" customHeight="1">
      <c r="A16" s="24" t="str">
        <f>'t1'!A16</f>
        <v>POSIZIONE ECONOMICA B3</v>
      </c>
      <c r="B16" s="157" t="str">
        <f>'t1'!B16</f>
        <v>034000</v>
      </c>
      <c r="C16" s="738"/>
      <c r="D16" s="256"/>
      <c r="E16" s="738"/>
      <c r="F16" s="256"/>
      <c r="G16" s="738"/>
      <c r="H16" s="256"/>
      <c r="I16" s="738"/>
      <c r="J16" s="256"/>
      <c r="K16" s="738"/>
      <c r="L16" s="256"/>
      <c r="M16" s="738"/>
      <c r="N16" s="256"/>
      <c r="O16" s="738"/>
      <c r="P16" s="256"/>
      <c r="Q16" s="738"/>
      <c r="R16" s="256"/>
      <c r="S16" s="738"/>
      <c r="T16" s="256"/>
      <c r="U16" s="738"/>
      <c r="V16" s="256"/>
      <c r="W16" s="738"/>
      <c r="X16" s="256"/>
      <c r="Y16" s="738"/>
      <c r="Z16" s="256"/>
      <c r="AA16" s="738"/>
      <c r="AB16" s="256"/>
      <c r="AC16" s="738"/>
      <c r="AD16" s="256"/>
      <c r="AE16" s="738"/>
      <c r="AF16" s="256"/>
      <c r="AG16" s="738"/>
      <c r="AH16" s="256"/>
      <c r="AI16" s="738"/>
      <c r="AJ16" s="256"/>
      <c r="AK16" s="738"/>
      <c r="AL16" s="256"/>
      <c r="AM16" s="738"/>
      <c r="AN16" s="256"/>
      <c r="AO16" s="738"/>
      <c r="AP16" s="256"/>
      <c r="AQ16" s="738"/>
      <c r="AR16" s="256"/>
      <c r="AS16" s="738"/>
      <c r="AT16" s="256"/>
      <c r="AU16" s="474">
        <f t="shared" si="2"/>
        <v>0</v>
      </c>
      <c r="AV16" s="475">
        <f t="shared" si="0"/>
        <v>0</v>
      </c>
      <c r="AW16" s="761" t="str">
        <f t="shared" si="1"/>
        <v>OK</v>
      </c>
      <c r="AX16" s="764">
        <f>'t1'!K16-'t3'!C16-'t3'!E16-'t3'!G16-'t3'!I16-'t3'!K16+'t3'!M16+'t3'!O16+'t3'!Q16</f>
        <v>0</v>
      </c>
      <c r="AY16" s="765">
        <f>'t1'!L16-'t3'!D16-'t3'!F16-'t3'!H16-'t3'!J16-'t3'!L16+'t3'!N16+'t3'!P16+'t3'!R16</f>
        <v>0</v>
      </c>
      <c r="AZ16" s="5">
        <f>'t1'!M16</f>
        <v>0</v>
      </c>
    </row>
    <row r="17" spans="1:52" ht="12.75" customHeight="1">
      <c r="A17" s="24" t="str">
        <f>'t1'!A17</f>
        <v>POSIZIONE ECONOMICA B2</v>
      </c>
      <c r="B17" s="157" t="str">
        <f>'t1'!B17</f>
        <v>032000</v>
      </c>
      <c r="C17" s="738"/>
      <c r="D17" s="256"/>
      <c r="E17" s="738"/>
      <c r="F17" s="256"/>
      <c r="G17" s="738"/>
      <c r="H17" s="256"/>
      <c r="I17" s="738"/>
      <c r="J17" s="256"/>
      <c r="K17" s="738"/>
      <c r="L17" s="256"/>
      <c r="M17" s="738"/>
      <c r="N17" s="256"/>
      <c r="O17" s="738"/>
      <c r="P17" s="256"/>
      <c r="Q17" s="738"/>
      <c r="R17" s="256"/>
      <c r="S17" s="738"/>
      <c r="T17" s="256"/>
      <c r="U17" s="738"/>
      <c r="V17" s="256"/>
      <c r="W17" s="738"/>
      <c r="X17" s="256"/>
      <c r="Y17" s="738"/>
      <c r="Z17" s="256"/>
      <c r="AA17" s="738"/>
      <c r="AB17" s="256"/>
      <c r="AC17" s="738"/>
      <c r="AD17" s="256"/>
      <c r="AE17" s="738"/>
      <c r="AF17" s="256"/>
      <c r="AG17" s="738"/>
      <c r="AH17" s="256"/>
      <c r="AI17" s="738"/>
      <c r="AJ17" s="256"/>
      <c r="AK17" s="738"/>
      <c r="AL17" s="256"/>
      <c r="AM17" s="738"/>
      <c r="AN17" s="256"/>
      <c r="AO17" s="738"/>
      <c r="AP17" s="256"/>
      <c r="AQ17" s="738"/>
      <c r="AR17" s="256"/>
      <c r="AS17" s="738"/>
      <c r="AT17" s="256"/>
      <c r="AU17" s="474">
        <f t="shared" si="2"/>
        <v>0</v>
      </c>
      <c r="AV17" s="475">
        <f t="shared" si="0"/>
        <v>0</v>
      </c>
      <c r="AW17" s="761" t="str">
        <f t="shared" si="1"/>
        <v>OK</v>
      </c>
      <c r="AX17" s="764">
        <f>'t1'!K17-'t3'!C17-'t3'!E17-'t3'!G17-'t3'!I17-'t3'!K17+'t3'!M17+'t3'!O17+'t3'!Q17</f>
        <v>0</v>
      </c>
      <c r="AY17" s="765">
        <f>'t1'!L17-'t3'!D17-'t3'!F17-'t3'!H17-'t3'!J17-'t3'!L17+'t3'!N17+'t3'!P17+'t3'!R17</f>
        <v>0</v>
      </c>
      <c r="AZ17" s="5">
        <f>'t1'!M17</f>
        <v>0</v>
      </c>
    </row>
    <row r="18" spans="1:52" ht="12.75" customHeight="1">
      <c r="A18" s="24" t="str">
        <f>'t1'!A18</f>
        <v>POSIZIONE ECONOMICA B1</v>
      </c>
      <c r="B18" s="157" t="str">
        <f>'t1'!B18</f>
        <v>030000</v>
      </c>
      <c r="C18" s="738"/>
      <c r="D18" s="256"/>
      <c r="E18" s="738"/>
      <c r="F18" s="256"/>
      <c r="G18" s="738"/>
      <c r="H18" s="256"/>
      <c r="I18" s="738"/>
      <c r="J18" s="256"/>
      <c r="K18" s="738"/>
      <c r="L18" s="256"/>
      <c r="M18" s="738"/>
      <c r="N18" s="256"/>
      <c r="O18" s="738"/>
      <c r="P18" s="256"/>
      <c r="Q18" s="738"/>
      <c r="R18" s="256"/>
      <c r="S18" s="738"/>
      <c r="T18" s="256"/>
      <c r="U18" s="738"/>
      <c r="V18" s="256"/>
      <c r="W18" s="738"/>
      <c r="X18" s="256"/>
      <c r="Y18" s="738"/>
      <c r="Z18" s="256"/>
      <c r="AA18" s="738"/>
      <c r="AB18" s="256"/>
      <c r="AC18" s="738"/>
      <c r="AD18" s="256"/>
      <c r="AE18" s="738"/>
      <c r="AF18" s="256"/>
      <c r="AG18" s="738"/>
      <c r="AH18" s="256"/>
      <c r="AI18" s="738"/>
      <c r="AJ18" s="256"/>
      <c r="AK18" s="738"/>
      <c r="AL18" s="256"/>
      <c r="AM18" s="738"/>
      <c r="AN18" s="256"/>
      <c r="AO18" s="738"/>
      <c r="AP18" s="256"/>
      <c r="AQ18" s="738"/>
      <c r="AR18" s="256"/>
      <c r="AS18" s="738"/>
      <c r="AT18" s="256"/>
      <c r="AU18" s="474">
        <f t="shared" si="2"/>
        <v>0</v>
      </c>
      <c r="AV18" s="475">
        <f t="shared" si="0"/>
        <v>0</v>
      </c>
      <c r="AW18" s="761" t="str">
        <f t="shared" si="1"/>
        <v>OK</v>
      </c>
      <c r="AX18" s="764">
        <f>'t1'!K18-'t3'!C18-'t3'!E18-'t3'!G18-'t3'!I18-'t3'!K18+'t3'!M18+'t3'!O18+'t3'!Q18</f>
        <v>0</v>
      </c>
      <c r="AY18" s="765">
        <f>'t1'!L18-'t3'!D18-'t3'!F18-'t3'!H18-'t3'!J18-'t3'!L18+'t3'!N18+'t3'!P18+'t3'!R18</f>
        <v>0</v>
      </c>
      <c r="AZ18" s="5">
        <f>'t1'!M18</f>
        <v>0</v>
      </c>
    </row>
    <row r="19" spans="1:52" ht="12.75" customHeight="1">
      <c r="A19" s="24" t="str">
        <f>'t1'!A19</f>
        <v>POSIZIONE ECONOMICA A3</v>
      </c>
      <c r="B19" s="157" t="str">
        <f>'t1'!B19</f>
        <v>027000</v>
      </c>
      <c r="C19" s="738"/>
      <c r="D19" s="256"/>
      <c r="E19" s="738"/>
      <c r="F19" s="256"/>
      <c r="G19" s="738"/>
      <c r="H19" s="256"/>
      <c r="I19" s="738"/>
      <c r="J19" s="256"/>
      <c r="K19" s="738"/>
      <c r="L19" s="256"/>
      <c r="M19" s="738"/>
      <c r="N19" s="256"/>
      <c r="O19" s="738"/>
      <c r="P19" s="256"/>
      <c r="Q19" s="738"/>
      <c r="R19" s="256"/>
      <c r="S19" s="738"/>
      <c r="T19" s="256"/>
      <c r="U19" s="738"/>
      <c r="V19" s="256"/>
      <c r="W19" s="738"/>
      <c r="X19" s="256"/>
      <c r="Y19" s="738"/>
      <c r="Z19" s="256"/>
      <c r="AA19" s="738"/>
      <c r="AB19" s="256"/>
      <c r="AC19" s="738"/>
      <c r="AD19" s="256"/>
      <c r="AE19" s="738"/>
      <c r="AF19" s="256"/>
      <c r="AG19" s="738"/>
      <c r="AH19" s="256"/>
      <c r="AI19" s="738"/>
      <c r="AJ19" s="256"/>
      <c r="AK19" s="738"/>
      <c r="AL19" s="256"/>
      <c r="AM19" s="738"/>
      <c r="AN19" s="256"/>
      <c r="AO19" s="738"/>
      <c r="AP19" s="256"/>
      <c r="AQ19" s="738"/>
      <c r="AR19" s="256"/>
      <c r="AS19" s="738"/>
      <c r="AT19" s="256"/>
      <c r="AU19" s="474">
        <f t="shared" si="2"/>
        <v>0</v>
      </c>
      <c r="AV19" s="475">
        <f t="shared" si="0"/>
        <v>0</v>
      </c>
      <c r="AW19" s="761" t="str">
        <f t="shared" si="1"/>
        <v>OK</v>
      </c>
      <c r="AX19" s="764">
        <f>'t1'!K19-'t3'!C19-'t3'!E19-'t3'!G19-'t3'!I19-'t3'!K19+'t3'!M19+'t3'!O19+'t3'!Q19</f>
        <v>0</v>
      </c>
      <c r="AY19" s="765">
        <f>'t1'!L19-'t3'!D19-'t3'!F19-'t3'!H19-'t3'!J19-'t3'!L19+'t3'!N19+'t3'!P19+'t3'!R19</f>
        <v>0</v>
      </c>
      <c r="AZ19" s="5">
        <f>'t1'!M19</f>
        <v>0</v>
      </c>
    </row>
    <row r="20" spans="1:52" ht="12.75" customHeight="1">
      <c r="A20" s="24" t="str">
        <f>'t1'!A20</f>
        <v>POSIZIONE ECONOMICA A2</v>
      </c>
      <c r="B20" s="157" t="str">
        <f>'t1'!B20</f>
        <v>025000</v>
      </c>
      <c r="C20" s="739"/>
      <c r="D20" s="740"/>
      <c r="E20" s="739"/>
      <c r="F20" s="740"/>
      <c r="G20" s="739"/>
      <c r="H20" s="740"/>
      <c r="I20" s="739"/>
      <c r="J20" s="740"/>
      <c r="K20" s="739"/>
      <c r="L20" s="740"/>
      <c r="M20" s="739"/>
      <c r="N20" s="740"/>
      <c r="O20" s="739"/>
      <c r="P20" s="740"/>
      <c r="Q20" s="739"/>
      <c r="R20" s="740"/>
      <c r="S20" s="739"/>
      <c r="T20" s="740"/>
      <c r="U20" s="739"/>
      <c r="V20" s="256"/>
      <c r="W20" s="738"/>
      <c r="X20" s="256"/>
      <c r="Y20" s="738"/>
      <c r="Z20" s="256"/>
      <c r="AA20" s="738"/>
      <c r="AB20" s="256"/>
      <c r="AC20" s="738"/>
      <c r="AD20" s="256"/>
      <c r="AE20" s="738"/>
      <c r="AF20" s="256"/>
      <c r="AG20" s="738"/>
      <c r="AH20" s="256"/>
      <c r="AI20" s="738"/>
      <c r="AJ20" s="256"/>
      <c r="AK20" s="738"/>
      <c r="AL20" s="256"/>
      <c r="AM20" s="738"/>
      <c r="AN20" s="256"/>
      <c r="AO20" s="738"/>
      <c r="AP20" s="256"/>
      <c r="AQ20" s="738"/>
      <c r="AR20" s="256"/>
      <c r="AS20" s="738"/>
      <c r="AT20" s="256"/>
      <c r="AU20" s="474">
        <f t="shared" si="2"/>
        <v>0</v>
      </c>
      <c r="AV20" s="475">
        <f t="shared" si="0"/>
        <v>0</v>
      </c>
      <c r="AW20" s="761" t="str">
        <f t="shared" si="1"/>
        <v>OK</v>
      </c>
      <c r="AX20" s="764">
        <f>'t1'!K20-'t3'!C20-'t3'!E20-'t3'!G20-'t3'!I20-'t3'!K20+'t3'!M20+'t3'!O20+'t3'!Q20</f>
        <v>0</v>
      </c>
      <c r="AY20" s="765">
        <f>'t1'!L20-'t3'!D20-'t3'!F20-'t3'!H20-'t3'!J20-'t3'!L20+'t3'!N20+'t3'!P20+'t3'!R20</f>
        <v>0</v>
      </c>
      <c r="AZ20" s="5">
        <f>'t1'!M20</f>
        <v>0</v>
      </c>
    </row>
    <row r="21" spans="1:52" ht="12.75" customHeight="1">
      <c r="A21" s="24" t="str">
        <f>'t1'!A21</f>
        <v>POSIZIONE ECONOMICA A1</v>
      </c>
      <c r="B21" s="157" t="str">
        <f>'t1'!B21</f>
        <v>023000</v>
      </c>
      <c r="C21" s="741"/>
      <c r="D21" s="260"/>
      <c r="E21" s="741"/>
      <c r="F21" s="260"/>
      <c r="G21" s="741"/>
      <c r="H21" s="260"/>
      <c r="I21" s="741"/>
      <c r="J21" s="260"/>
      <c r="K21" s="741"/>
      <c r="L21" s="260"/>
      <c r="M21" s="741"/>
      <c r="N21" s="260"/>
      <c r="O21" s="741"/>
      <c r="P21" s="260"/>
      <c r="Q21" s="741"/>
      <c r="R21" s="260"/>
      <c r="S21" s="741"/>
      <c r="T21" s="260"/>
      <c r="U21" s="741"/>
      <c r="V21" s="256"/>
      <c r="W21" s="738"/>
      <c r="X21" s="256"/>
      <c r="Y21" s="738"/>
      <c r="Z21" s="256"/>
      <c r="AA21" s="738"/>
      <c r="AB21" s="256"/>
      <c r="AC21" s="738"/>
      <c r="AD21" s="256"/>
      <c r="AE21" s="738"/>
      <c r="AF21" s="256"/>
      <c r="AG21" s="738"/>
      <c r="AH21" s="256"/>
      <c r="AI21" s="738"/>
      <c r="AJ21" s="256"/>
      <c r="AK21" s="738"/>
      <c r="AL21" s="256"/>
      <c r="AM21" s="738"/>
      <c r="AN21" s="256"/>
      <c r="AO21" s="738"/>
      <c r="AP21" s="256"/>
      <c r="AQ21" s="738"/>
      <c r="AR21" s="256"/>
      <c r="AS21" s="738"/>
      <c r="AT21" s="256"/>
      <c r="AU21" s="474">
        <f t="shared" si="2"/>
        <v>0</v>
      </c>
      <c r="AV21" s="475">
        <f t="shared" si="0"/>
        <v>0</v>
      </c>
      <c r="AW21" s="761" t="str">
        <f t="shared" si="1"/>
        <v>OK</v>
      </c>
      <c r="AX21" s="764">
        <f>'t1'!K21-'t3'!C21-'t3'!E21-'t3'!G21-'t3'!I21-'t3'!K21+'t3'!M21+'t3'!O21+'t3'!Q21</f>
        <v>0</v>
      </c>
      <c r="AY21" s="765">
        <f>'t1'!L21-'t3'!D21-'t3'!F21-'t3'!H21-'t3'!J21-'t3'!L21+'t3'!N21+'t3'!P21+'t3'!R21</f>
        <v>0</v>
      </c>
      <c r="AZ21" s="5">
        <f>'t1'!M21</f>
        <v>0</v>
      </c>
    </row>
    <row r="22" spans="1:52" ht="12.75" customHeight="1" thickBot="1">
      <c r="A22" s="24" t="str">
        <f>'t1'!A22</f>
        <v>CONTRATTISTI (a)</v>
      </c>
      <c r="B22" s="157" t="str">
        <f>'t1'!B22</f>
        <v>000061</v>
      </c>
      <c r="C22" s="738"/>
      <c r="D22" s="256"/>
      <c r="E22" s="738"/>
      <c r="F22" s="256"/>
      <c r="G22" s="738"/>
      <c r="H22" s="256"/>
      <c r="I22" s="738"/>
      <c r="J22" s="256"/>
      <c r="K22" s="738"/>
      <c r="L22" s="256"/>
      <c r="M22" s="738"/>
      <c r="N22" s="256"/>
      <c r="O22" s="738"/>
      <c r="P22" s="256"/>
      <c r="Q22" s="738"/>
      <c r="R22" s="256"/>
      <c r="S22" s="738"/>
      <c r="T22" s="256"/>
      <c r="U22" s="738"/>
      <c r="V22" s="256"/>
      <c r="W22" s="738"/>
      <c r="X22" s="256"/>
      <c r="Y22" s="738"/>
      <c r="Z22" s="256"/>
      <c r="AA22" s="738"/>
      <c r="AB22" s="256"/>
      <c r="AC22" s="738"/>
      <c r="AD22" s="256"/>
      <c r="AE22" s="738"/>
      <c r="AF22" s="256"/>
      <c r="AG22" s="738"/>
      <c r="AH22" s="256"/>
      <c r="AI22" s="738"/>
      <c r="AJ22" s="256"/>
      <c r="AK22" s="738"/>
      <c r="AL22" s="256"/>
      <c r="AM22" s="738"/>
      <c r="AN22" s="256"/>
      <c r="AO22" s="738"/>
      <c r="AP22" s="256"/>
      <c r="AQ22" s="738"/>
      <c r="AR22" s="256"/>
      <c r="AS22" s="738"/>
      <c r="AT22" s="256"/>
      <c r="AU22" s="474">
        <f t="shared" si="2"/>
        <v>0</v>
      </c>
      <c r="AV22" s="475">
        <f t="shared" si="0"/>
        <v>0</v>
      </c>
      <c r="AW22" s="761" t="str">
        <f t="shared" si="1"/>
        <v>OK</v>
      </c>
      <c r="AX22" s="766">
        <f>'t1'!K22-'t3'!C22-'t3'!E22-'t3'!G22-'t3'!I22-'t3'!K22+'t3'!M22+'t3'!O22+'t3'!Q22</f>
        <v>0</v>
      </c>
      <c r="AY22" s="767">
        <f>'t1'!L22-'t3'!D22-'t3'!F22-'t3'!H22-'t3'!J22-'t3'!L22+'t3'!N22+'t3'!P22+'t3'!R22</f>
        <v>0</v>
      </c>
      <c r="AZ22" s="5">
        <f>'t1'!M22</f>
        <v>0</v>
      </c>
    </row>
    <row r="23" spans="1:51" ht="17.25" customHeight="1" thickBot="1" thickTop="1">
      <c r="A23" s="18" t="s">
        <v>77</v>
      </c>
      <c r="B23" s="159"/>
      <c r="C23" s="476">
        <f aca="true" t="shared" si="3" ref="C23:AV23">SUM(C6:C22)</f>
        <v>0</v>
      </c>
      <c r="D23" s="478">
        <f t="shared" si="3"/>
        <v>0</v>
      </c>
      <c r="E23" s="476">
        <f t="shared" si="3"/>
        <v>0</v>
      </c>
      <c r="F23" s="478">
        <f t="shared" si="3"/>
        <v>0</v>
      </c>
      <c r="G23" s="476">
        <f t="shared" si="3"/>
        <v>0</v>
      </c>
      <c r="H23" s="478">
        <f t="shared" si="3"/>
        <v>0</v>
      </c>
      <c r="I23" s="476">
        <f t="shared" si="3"/>
        <v>0</v>
      </c>
      <c r="J23" s="478">
        <f t="shared" si="3"/>
        <v>0</v>
      </c>
      <c r="K23" s="476">
        <f t="shared" si="3"/>
        <v>0</v>
      </c>
      <c r="L23" s="478">
        <f t="shared" si="3"/>
        <v>0</v>
      </c>
      <c r="M23" s="476">
        <f t="shared" si="3"/>
        <v>0</v>
      </c>
      <c r="N23" s="478">
        <f t="shared" si="3"/>
        <v>0</v>
      </c>
      <c r="O23" s="476">
        <f t="shared" si="3"/>
        <v>0</v>
      </c>
      <c r="P23" s="478">
        <f t="shared" si="3"/>
        <v>0</v>
      </c>
      <c r="Q23" s="476">
        <f t="shared" si="3"/>
        <v>0</v>
      </c>
      <c r="R23" s="478">
        <f t="shared" si="3"/>
        <v>0</v>
      </c>
      <c r="S23" s="476">
        <f t="shared" si="3"/>
        <v>0</v>
      </c>
      <c r="T23" s="478">
        <f t="shared" si="3"/>
        <v>0</v>
      </c>
      <c r="U23" s="476">
        <f t="shared" si="3"/>
        <v>0</v>
      </c>
      <c r="V23" s="478">
        <f t="shared" si="3"/>
        <v>0</v>
      </c>
      <c r="W23" s="476">
        <f t="shared" si="3"/>
        <v>0</v>
      </c>
      <c r="X23" s="478">
        <f t="shared" si="3"/>
        <v>0</v>
      </c>
      <c r="Y23" s="476">
        <f t="shared" si="3"/>
        <v>0</v>
      </c>
      <c r="Z23" s="478">
        <f t="shared" si="3"/>
        <v>0</v>
      </c>
      <c r="AA23" s="476">
        <f t="shared" si="3"/>
        <v>0</v>
      </c>
      <c r="AB23" s="478">
        <f t="shared" si="3"/>
        <v>0</v>
      </c>
      <c r="AC23" s="476">
        <f t="shared" si="3"/>
        <v>0</v>
      </c>
      <c r="AD23" s="478">
        <f t="shared" si="3"/>
        <v>0</v>
      </c>
      <c r="AE23" s="476">
        <f t="shared" si="3"/>
        <v>0</v>
      </c>
      <c r="AF23" s="478">
        <f t="shared" si="3"/>
        <v>0</v>
      </c>
      <c r="AG23" s="476">
        <f t="shared" si="3"/>
        <v>0</v>
      </c>
      <c r="AH23" s="478">
        <f t="shared" si="3"/>
        <v>0</v>
      </c>
      <c r="AI23" s="476">
        <f t="shared" si="3"/>
        <v>0</v>
      </c>
      <c r="AJ23" s="478">
        <f t="shared" si="3"/>
        <v>0</v>
      </c>
      <c r="AK23" s="476">
        <f t="shared" si="3"/>
        <v>0</v>
      </c>
      <c r="AL23" s="478">
        <f t="shared" si="3"/>
        <v>0</v>
      </c>
      <c r="AM23" s="476">
        <f t="shared" si="3"/>
        <v>0</v>
      </c>
      <c r="AN23" s="478">
        <f t="shared" si="3"/>
        <v>0</v>
      </c>
      <c r="AO23" s="476">
        <f t="shared" si="3"/>
        <v>0</v>
      </c>
      <c r="AP23" s="478">
        <f t="shared" si="3"/>
        <v>0</v>
      </c>
      <c r="AQ23" s="476">
        <f t="shared" si="3"/>
        <v>0</v>
      </c>
      <c r="AR23" s="478">
        <f t="shared" si="3"/>
        <v>0</v>
      </c>
      <c r="AS23" s="476">
        <f t="shared" si="3"/>
        <v>0</v>
      </c>
      <c r="AT23" s="478">
        <f t="shared" si="3"/>
        <v>0</v>
      </c>
      <c r="AU23" s="476">
        <f t="shared" si="3"/>
        <v>0</v>
      </c>
      <c r="AV23" s="477">
        <f t="shared" si="3"/>
        <v>0</v>
      </c>
      <c r="AW23" s="761" t="str">
        <f>IF((AU50+AV50)=(AX23+AY23),"OK","Controllare totale")</f>
        <v>OK</v>
      </c>
      <c r="AX23" s="768">
        <f>SUM(AX6:AX22)</f>
        <v>0</v>
      </c>
      <c r="AY23" s="769">
        <f>SUM(AY6:AY22)</f>
        <v>0</v>
      </c>
    </row>
    <row r="24" spans="3:27" ht="17.25" customHeight="1">
      <c r="C24" s="26" t="str">
        <f>'t1'!$A$24</f>
        <v>(a) personale a tempo indeterminato al quale viene applicato un contratto di lavoro di tipo privatistico (es.:tipografico,chimico,edile,metalmeccanico,portierato, ecc.)</v>
      </c>
      <c r="M24" s="10"/>
      <c r="N24" s="10"/>
      <c r="O24" s="10"/>
      <c r="P24" s="10"/>
      <c r="Q24" s="10"/>
      <c r="R24" s="10"/>
      <c r="S24" s="9"/>
      <c r="T24" s="9"/>
      <c r="AA24" s="26" t="str">
        <f>'t1'!$A$24</f>
        <v>(a) personale a tempo indeterminato al quale viene applicato un contratto di lavoro di tipo privatistico (es.:tipografico,chimico,edile,metalmeccanico,portierato, ecc.)</v>
      </c>
    </row>
    <row r="25" spans="3:27" ht="9.75">
      <c r="C25" s="26"/>
      <c r="AA25" s="26" t="e">
        <f>'t1'!#REF!</f>
        <v>#REF!</v>
      </c>
    </row>
  </sheetData>
  <sheetProtection password="EA98" sheet="1" formatColumns="0" selectLockedCells="1"/>
  <mergeCells count="6">
    <mergeCell ref="A1:A2"/>
    <mergeCell ref="G4:H4"/>
    <mergeCell ref="S2:Z2"/>
    <mergeCell ref="AO2:AV2"/>
    <mergeCell ref="C1:W1"/>
    <mergeCell ref="AA1:AS1"/>
  </mergeCells>
  <conditionalFormatting sqref="A6:AV22">
    <cfRule type="expression" priority="1" dxfId="3" stopIfTrue="1">
      <formula>$AZ6&gt;0</formula>
    </cfRule>
  </conditionalFormatting>
  <printOptions horizontalCentered="1" verticalCentered="1"/>
  <pageMargins left="0.1968503937007874" right="0.1968503937007874" top="0.1968503937007874" bottom="0.15748031496062992" header="0.2362204724409449" footer="0.1968503937007874"/>
  <pageSetup horizontalDpi="300" verticalDpi="300" orientation="landscape" paperSize="9" scale="75" r:id="rId2"/>
  <drawing r:id="rId1"/>
</worksheet>
</file>

<file path=xl/worksheets/sheet14.xml><?xml version="1.0" encoding="utf-8"?>
<worksheet xmlns="http://schemas.openxmlformats.org/spreadsheetml/2006/main" xmlns:r="http://schemas.openxmlformats.org/officeDocument/2006/relationships">
  <sheetPr codeName="Foglio29"/>
  <dimension ref="A1:BC27"/>
  <sheetViews>
    <sheetView showGridLines="0" zoomScalePageLayoutView="0" workbookViewId="0" topLeftCell="A1">
      <pane xSplit="2" ySplit="7" topLeftCell="AG8" activePane="bottomRight" state="frozen"/>
      <selection pane="topLeft" activeCell="A2" sqref="A2"/>
      <selection pane="topRight" activeCell="A2" sqref="A2"/>
      <selection pane="bottomLeft" activeCell="A2" sqref="A2"/>
      <selection pane="bottomRight" activeCell="AG8" sqref="AG8"/>
    </sheetView>
  </sheetViews>
  <sheetFormatPr defaultColWidth="10.66015625" defaultRowHeight="10.5"/>
  <cols>
    <col min="1" max="1" width="38.83203125" style="31" customWidth="1"/>
    <col min="2" max="2" width="8.83203125" style="35" customWidth="1"/>
    <col min="3" max="6" width="11.33203125" style="31" hidden="1" customWidth="1"/>
    <col min="7" max="10" width="10.33203125" style="31" hidden="1" customWidth="1"/>
    <col min="11" max="14" width="0" style="31" hidden="1" customWidth="1"/>
    <col min="15" max="20" width="9.33203125" style="31" hidden="1" customWidth="1"/>
    <col min="21" max="32" width="0" style="31" hidden="1" customWidth="1"/>
    <col min="33" max="36" width="11.33203125" style="31" customWidth="1"/>
    <col min="37" max="40" width="10.33203125" style="31" customWidth="1"/>
    <col min="41" max="44" width="10.66015625" style="31" customWidth="1"/>
    <col min="45" max="50" width="9.33203125" style="31" customWidth="1"/>
    <col min="51" max="52" width="10.66015625" style="31" customWidth="1"/>
    <col min="53" max="53" width="0" style="31" hidden="1" customWidth="1"/>
    <col min="54" max="16384" width="10.66015625" style="31" customWidth="1"/>
  </cols>
  <sheetData>
    <row r="1" spans="1:55" s="5" customFormat="1" ht="43.5" customHeight="1">
      <c r="A1" s="1349" t="str">
        <f>'t1'!A1</f>
        <v>CNEL - anno 2018</v>
      </c>
      <c r="B1" s="1349"/>
      <c r="C1" s="1349"/>
      <c r="D1" s="1349"/>
      <c r="E1" s="1349"/>
      <c r="F1" s="1349"/>
      <c r="G1" s="1349"/>
      <c r="H1" s="1349"/>
      <c r="I1" s="1349"/>
      <c r="J1" s="1349"/>
      <c r="K1" s="1349"/>
      <c r="L1" s="1349"/>
      <c r="M1" s="1349"/>
      <c r="N1" s="1349"/>
      <c r="O1" s="1349"/>
      <c r="P1" s="1349"/>
      <c r="Q1" s="1349"/>
      <c r="R1" s="1349"/>
      <c r="S1" s="1349"/>
      <c r="T1" s="1349"/>
      <c r="U1" s="1349"/>
      <c r="V1" s="1349"/>
      <c r="W1" s="1349"/>
      <c r="X1" s="1349"/>
      <c r="Y1" s="1349"/>
      <c r="Z1" s="1349"/>
      <c r="AA1" s="1349"/>
      <c r="AB1" s="1349"/>
      <c r="AC1" s="1349"/>
      <c r="AD1" s="1349"/>
      <c r="AE1" s="1349"/>
      <c r="AF1" s="1349"/>
      <c r="AG1" s="1349"/>
      <c r="AH1" s="1349"/>
      <c r="AI1" s="1349"/>
      <c r="AJ1" s="1349"/>
      <c r="AK1" s="1349"/>
      <c r="AL1" s="1349"/>
      <c r="AM1" s="1349"/>
      <c r="AN1" s="1349"/>
      <c r="AO1" s="1349"/>
      <c r="AP1" s="1349"/>
      <c r="AQ1" s="1349"/>
      <c r="AR1" s="1349"/>
      <c r="AS1" s="1349"/>
      <c r="AT1" s="1349"/>
      <c r="AU1" s="1349"/>
      <c r="AV1" s="1349"/>
      <c r="AW1" s="1349"/>
      <c r="AX1" s="1349"/>
      <c r="AY1" s="1349"/>
      <c r="AZ1" s="1349"/>
      <c r="BA1" s="31"/>
      <c r="BB1" s="31"/>
      <c r="BC1" s="31"/>
    </row>
    <row r="2" spans="1:40" ht="30" customHeight="1" thickBot="1">
      <c r="A2" s="28"/>
      <c r="B2" s="29"/>
      <c r="C2" s="30"/>
      <c r="D2" s="30"/>
      <c r="E2" s="30"/>
      <c r="F2" s="30"/>
      <c r="G2" s="1350"/>
      <c r="H2" s="1350"/>
      <c r="I2" s="1350"/>
      <c r="J2" s="1350"/>
      <c r="AG2" s="30"/>
      <c r="AH2" s="30"/>
      <c r="AI2" s="30"/>
      <c r="AJ2" s="30"/>
      <c r="AK2" s="1350"/>
      <c r="AL2" s="1350"/>
      <c r="AM2" s="1350"/>
      <c r="AN2" s="1350"/>
    </row>
    <row r="3" spans="1:52" ht="15.75" customHeight="1" thickBot="1">
      <c r="A3" s="301"/>
      <c r="B3" s="306"/>
      <c r="C3" s="307" t="s">
        <v>257</v>
      </c>
      <c r="D3" s="307"/>
      <c r="E3" s="307"/>
      <c r="F3" s="307"/>
      <c r="G3" s="307"/>
      <c r="H3" s="308"/>
      <c r="I3" s="307"/>
      <c r="J3" s="308"/>
      <c r="K3" s="308"/>
      <c r="L3" s="308"/>
      <c r="M3" s="308"/>
      <c r="N3" s="308"/>
      <c r="O3" s="308"/>
      <c r="P3" s="308"/>
      <c r="Q3" s="308"/>
      <c r="R3" s="308"/>
      <c r="S3" s="308"/>
      <c r="T3" s="308"/>
      <c r="U3" s="308"/>
      <c r="V3" s="308"/>
      <c r="AG3" s="307" t="s">
        <v>257</v>
      </c>
      <c r="AH3" s="307"/>
      <c r="AI3" s="307"/>
      <c r="AJ3" s="307"/>
      <c r="AK3" s="307"/>
      <c r="AL3" s="308"/>
      <c r="AM3" s="307"/>
      <c r="AN3" s="308"/>
      <c r="AO3" s="308"/>
      <c r="AP3" s="308"/>
      <c r="AQ3" s="308"/>
      <c r="AR3" s="308"/>
      <c r="AS3" s="308"/>
      <c r="AT3" s="308"/>
      <c r="AU3" s="308"/>
      <c r="AV3" s="308"/>
      <c r="AW3" s="308"/>
      <c r="AX3" s="308"/>
      <c r="AY3" s="308"/>
      <c r="AZ3" s="308"/>
    </row>
    <row r="4" spans="1:52" ht="37.5" customHeight="1" thickTop="1">
      <c r="A4" s="32" t="s">
        <v>147</v>
      </c>
      <c r="B4" s="33" t="s">
        <v>74</v>
      </c>
      <c r="C4" s="500" t="s">
        <v>79</v>
      </c>
      <c r="D4" s="501"/>
      <c r="E4" s="1394" t="s">
        <v>386</v>
      </c>
      <c r="F4" s="1395"/>
      <c r="G4" s="1396" t="s">
        <v>411</v>
      </c>
      <c r="H4" s="1371"/>
      <c r="I4" s="1396" t="s">
        <v>385</v>
      </c>
      <c r="J4" s="1371"/>
      <c r="K4" s="1397" t="s">
        <v>384</v>
      </c>
      <c r="L4" s="1371"/>
      <c r="M4" s="1391" t="s">
        <v>383</v>
      </c>
      <c r="N4" s="1371"/>
      <c r="O4" s="1391" t="s">
        <v>358</v>
      </c>
      <c r="P4" s="1371"/>
      <c r="Q4" s="1391" t="s">
        <v>191</v>
      </c>
      <c r="R4" s="1371"/>
      <c r="S4" s="1391" t="s">
        <v>62</v>
      </c>
      <c r="T4" s="1371"/>
      <c r="U4" s="412" t="s">
        <v>77</v>
      </c>
      <c r="V4" s="411"/>
      <c r="AG4" s="500" t="s">
        <v>79</v>
      </c>
      <c r="AH4" s="501"/>
      <c r="AI4" s="1394" t="s">
        <v>386</v>
      </c>
      <c r="AJ4" s="1395"/>
      <c r="AK4" s="1396" t="s">
        <v>411</v>
      </c>
      <c r="AL4" s="1371"/>
      <c r="AM4" s="1396" t="s">
        <v>385</v>
      </c>
      <c r="AN4" s="1371"/>
      <c r="AO4" s="1397" t="s">
        <v>384</v>
      </c>
      <c r="AP4" s="1371"/>
      <c r="AQ4" s="1391" t="s">
        <v>383</v>
      </c>
      <c r="AR4" s="1371"/>
      <c r="AS4" s="1391" t="s">
        <v>358</v>
      </c>
      <c r="AT4" s="1371"/>
      <c r="AU4" s="1391" t="s">
        <v>191</v>
      </c>
      <c r="AV4" s="1371"/>
      <c r="AW4" s="1391" t="s">
        <v>62</v>
      </c>
      <c r="AX4" s="1371"/>
      <c r="AY4" s="412" t="s">
        <v>77</v>
      </c>
      <c r="AZ4" s="411"/>
    </row>
    <row r="5" spans="1:52" ht="9.75">
      <c r="A5" s="32"/>
      <c r="B5" s="33"/>
      <c r="C5" s="1392" t="s">
        <v>299</v>
      </c>
      <c r="D5" s="1393"/>
      <c r="E5" s="1392" t="s">
        <v>387</v>
      </c>
      <c r="F5" s="1393"/>
      <c r="G5" s="1392" t="s">
        <v>410</v>
      </c>
      <c r="H5" s="1393"/>
      <c r="I5" s="1392" t="s">
        <v>388</v>
      </c>
      <c r="J5" s="1393"/>
      <c r="K5" s="1392" t="s">
        <v>389</v>
      </c>
      <c r="L5" s="1393"/>
      <c r="M5" s="1389" t="s">
        <v>390</v>
      </c>
      <c r="N5" s="1390"/>
      <c r="O5" s="1389" t="s">
        <v>300</v>
      </c>
      <c r="P5" s="1390"/>
      <c r="Q5" s="1389" t="s">
        <v>301</v>
      </c>
      <c r="R5" s="1390"/>
      <c r="S5" s="1389" t="s">
        <v>326</v>
      </c>
      <c r="T5" s="1390"/>
      <c r="U5" s="413"/>
      <c r="V5" s="482"/>
      <c r="AG5" s="1392" t="s">
        <v>299</v>
      </c>
      <c r="AH5" s="1393"/>
      <c r="AI5" s="1392" t="s">
        <v>387</v>
      </c>
      <c r="AJ5" s="1393"/>
      <c r="AK5" s="1392" t="s">
        <v>410</v>
      </c>
      <c r="AL5" s="1393"/>
      <c r="AM5" s="1392" t="s">
        <v>388</v>
      </c>
      <c r="AN5" s="1393"/>
      <c r="AO5" s="1392" t="s">
        <v>389</v>
      </c>
      <c r="AP5" s="1393"/>
      <c r="AQ5" s="1389" t="s">
        <v>390</v>
      </c>
      <c r="AR5" s="1390"/>
      <c r="AS5" s="1389" t="s">
        <v>300</v>
      </c>
      <c r="AT5" s="1390"/>
      <c r="AU5" s="1389" t="s">
        <v>301</v>
      </c>
      <c r="AV5" s="1390"/>
      <c r="AW5" s="1389" t="s">
        <v>326</v>
      </c>
      <c r="AX5" s="1390"/>
      <c r="AY5" s="413"/>
      <c r="AZ5" s="482"/>
    </row>
    <row r="6" spans="1:52" ht="12" customHeight="1">
      <c r="A6" s="32"/>
      <c r="B6" s="33"/>
      <c r="C6" s="283" t="s">
        <v>75</v>
      </c>
      <c r="D6" s="414" t="s">
        <v>76</v>
      </c>
      <c r="E6" s="283" t="s">
        <v>75</v>
      </c>
      <c r="F6" s="414" t="s">
        <v>76</v>
      </c>
      <c r="G6" s="283" t="s">
        <v>75</v>
      </c>
      <c r="H6" s="414" t="s">
        <v>76</v>
      </c>
      <c r="I6" s="283" t="s">
        <v>75</v>
      </c>
      <c r="J6" s="414" t="s">
        <v>76</v>
      </c>
      <c r="K6" s="283" t="s">
        <v>75</v>
      </c>
      <c r="L6" s="414" t="s">
        <v>76</v>
      </c>
      <c r="M6" s="283" t="s">
        <v>75</v>
      </c>
      <c r="N6" s="414" t="s">
        <v>76</v>
      </c>
      <c r="O6" s="283" t="s">
        <v>75</v>
      </c>
      <c r="P6" s="655" t="s">
        <v>76</v>
      </c>
      <c r="Q6" s="283" t="s">
        <v>75</v>
      </c>
      <c r="R6" s="655" t="s">
        <v>76</v>
      </c>
      <c r="S6" s="283" t="s">
        <v>75</v>
      </c>
      <c r="T6" s="651" t="s">
        <v>76</v>
      </c>
      <c r="U6" s="283" t="s">
        <v>75</v>
      </c>
      <c r="V6" s="414" t="s">
        <v>76</v>
      </c>
      <c r="AG6" s="283" t="s">
        <v>75</v>
      </c>
      <c r="AH6" s="414" t="s">
        <v>76</v>
      </c>
      <c r="AI6" s="283" t="s">
        <v>75</v>
      </c>
      <c r="AJ6" s="414" t="s">
        <v>76</v>
      </c>
      <c r="AK6" s="283" t="s">
        <v>75</v>
      </c>
      <c r="AL6" s="414" t="s">
        <v>76</v>
      </c>
      <c r="AM6" s="283" t="s">
        <v>75</v>
      </c>
      <c r="AN6" s="414" t="s">
        <v>76</v>
      </c>
      <c r="AO6" s="283" t="s">
        <v>75</v>
      </c>
      <c r="AP6" s="414" t="s">
        <v>76</v>
      </c>
      <c r="AQ6" s="283" t="s">
        <v>75</v>
      </c>
      <c r="AR6" s="414" t="s">
        <v>76</v>
      </c>
      <c r="AS6" s="283" t="s">
        <v>75</v>
      </c>
      <c r="AT6" s="655" t="s">
        <v>76</v>
      </c>
      <c r="AU6" s="283" t="s">
        <v>75</v>
      </c>
      <c r="AV6" s="655" t="s">
        <v>76</v>
      </c>
      <c r="AW6" s="283" t="s">
        <v>75</v>
      </c>
      <c r="AX6" s="651" t="s">
        <v>76</v>
      </c>
      <c r="AY6" s="283" t="s">
        <v>75</v>
      </c>
      <c r="AZ6" s="414" t="s">
        <v>76</v>
      </c>
    </row>
    <row r="7" spans="1:52" s="295" customFormat="1" ht="8.25" thickBot="1">
      <c r="A7" s="897" t="s">
        <v>645</v>
      </c>
      <c r="B7" s="489"/>
      <c r="C7" s="293" t="s">
        <v>80</v>
      </c>
      <c r="D7" s="294" t="s">
        <v>80</v>
      </c>
      <c r="E7" s="293" t="s">
        <v>80</v>
      </c>
      <c r="F7" s="294" t="s">
        <v>80</v>
      </c>
      <c r="G7" s="293" t="s">
        <v>80</v>
      </c>
      <c r="H7" s="294" t="s">
        <v>80</v>
      </c>
      <c r="I7" s="293" t="s">
        <v>80</v>
      </c>
      <c r="J7" s="294" t="s">
        <v>80</v>
      </c>
      <c r="K7" s="293" t="s">
        <v>80</v>
      </c>
      <c r="L7" s="294" t="s">
        <v>80</v>
      </c>
      <c r="M7" s="293" t="s">
        <v>80</v>
      </c>
      <c r="N7" s="294" t="s">
        <v>80</v>
      </c>
      <c r="O7" s="293" t="s">
        <v>80</v>
      </c>
      <c r="P7" s="656" t="s">
        <v>80</v>
      </c>
      <c r="Q7" s="293" t="s">
        <v>80</v>
      </c>
      <c r="R7" s="656" t="s">
        <v>80</v>
      </c>
      <c r="S7" s="293" t="s">
        <v>80</v>
      </c>
      <c r="T7" s="656" t="s">
        <v>80</v>
      </c>
      <c r="U7" s="661" t="s">
        <v>80</v>
      </c>
      <c r="V7" s="558" t="s">
        <v>80</v>
      </c>
      <c r="AG7" s="293" t="s">
        <v>80</v>
      </c>
      <c r="AH7" s="294" t="s">
        <v>80</v>
      </c>
      <c r="AI7" s="293" t="s">
        <v>80</v>
      </c>
      <c r="AJ7" s="294" t="s">
        <v>80</v>
      </c>
      <c r="AK7" s="293" t="s">
        <v>80</v>
      </c>
      <c r="AL7" s="294" t="s">
        <v>80</v>
      </c>
      <c r="AM7" s="293" t="s">
        <v>80</v>
      </c>
      <c r="AN7" s="294" t="s">
        <v>80</v>
      </c>
      <c r="AO7" s="293" t="s">
        <v>80</v>
      </c>
      <c r="AP7" s="294" t="s">
        <v>80</v>
      </c>
      <c r="AQ7" s="293" t="s">
        <v>80</v>
      </c>
      <c r="AR7" s="294" t="s">
        <v>80</v>
      </c>
      <c r="AS7" s="293" t="s">
        <v>80</v>
      </c>
      <c r="AT7" s="656" t="s">
        <v>80</v>
      </c>
      <c r="AU7" s="293" t="s">
        <v>80</v>
      </c>
      <c r="AV7" s="656" t="s">
        <v>80</v>
      </c>
      <c r="AW7" s="293" t="s">
        <v>80</v>
      </c>
      <c r="AX7" s="656" t="s">
        <v>80</v>
      </c>
      <c r="AY7" s="661" t="s">
        <v>80</v>
      </c>
      <c r="AZ7" s="558" t="s">
        <v>80</v>
      </c>
    </row>
    <row r="8" spans="1:53" ht="12.75" customHeight="1" thickTop="1">
      <c r="A8" s="25" t="str">
        <f>'t1'!A6</f>
        <v>DIRIGENTE I FASCIA</v>
      </c>
      <c r="B8" s="237" t="str">
        <f>'t1'!B6</f>
        <v>0D0077</v>
      </c>
      <c r="C8" s="910">
        <f>ROUND(AG8,0)</f>
        <v>0</v>
      </c>
      <c r="D8" s="911">
        <f aca="true" t="shared" si="0" ref="D8:D24">ROUND(AH8,0)</f>
        <v>0</v>
      </c>
      <c r="E8" s="910">
        <f aca="true" t="shared" si="1" ref="E8:E24">ROUND(AI8,0)</f>
        <v>0</v>
      </c>
      <c r="F8" s="911">
        <f aca="true" t="shared" si="2" ref="F8:F24">ROUND(AJ8,0)</f>
        <v>0</v>
      </c>
      <c r="G8" s="910">
        <f aca="true" t="shared" si="3" ref="G8:G24">ROUND(AK8,0)</f>
        <v>0</v>
      </c>
      <c r="H8" s="911">
        <f aca="true" t="shared" si="4" ref="H8:H24">ROUND(AL8,0)</f>
        <v>0</v>
      </c>
      <c r="I8" s="910">
        <f aca="true" t="shared" si="5" ref="I8:I24">ROUND(AM8,0)</f>
        <v>0</v>
      </c>
      <c r="J8" s="911">
        <f aca="true" t="shared" si="6" ref="J8:J24">ROUND(AN8,0)</f>
        <v>0</v>
      </c>
      <c r="K8" s="910">
        <f aca="true" t="shared" si="7" ref="K8:K24">ROUND(AO8,0)</f>
        <v>0</v>
      </c>
      <c r="L8" s="911">
        <f aca="true" t="shared" si="8" ref="L8:L24">ROUND(AP8,0)</f>
        <v>0</v>
      </c>
      <c r="M8" s="910">
        <f aca="true" t="shared" si="9" ref="M8:M24">ROUND(AQ8,0)</f>
        <v>0</v>
      </c>
      <c r="N8" s="911">
        <f aca="true" t="shared" si="10" ref="N8:N24">ROUND(AR8,0)</f>
        <v>0</v>
      </c>
      <c r="O8" s="912">
        <f aca="true" t="shared" si="11" ref="O8:O24">ROUND(AS8,0)</f>
        <v>0</v>
      </c>
      <c r="P8" s="913">
        <f aca="true" t="shared" si="12" ref="P8:P24">ROUND(AT8,0)</f>
        <v>0</v>
      </c>
      <c r="Q8" s="912">
        <f aca="true" t="shared" si="13" ref="Q8:Q24">ROUND(AU8,0)</f>
        <v>0</v>
      </c>
      <c r="R8" s="913">
        <f aca="true" t="shared" si="14" ref="R8:R24">ROUND(AV8,0)</f>
        <v>0</v>
      </c>
      <c r="S8" s="912">
        <f aca="true" t="shared" si="15" ref="S8:S24">ROUND(AW8,0)</f>
        <v>0</v>
      </c>
      <c r="T8" s="914">
        <f aca="true" t="shared" si="16" ref="T8:T24">ROUND(AX8,0)</f>
        <v>0</v>
      </c>
      <c r="U8" s="662">
        <f>SUM(C8,E8,G8,I8,K8,M8,O8,Q8,S8)</f>
        <v>0</v>
      </c>
      <c r="V8" s="663">
        <f>SUM(D8,F8,H8,J8,L8,N8,P8,R8,T8)</f>
        <v>0</v>
      </c>
      <c r="W8" s="31">
        <f>'t1'!M6</f>
        <v>0</v>
      </c>
      <c r="AG8" s="279"/>
      <c r="AH8" s="280"/>
      <c r="AI8" s="279"/>
      <c r="AJ8" s="280"/>
      <c r="AK8" s="279"/>
      <c r="AL8" s="280"/>
      <c r="AM8" s="279"/>
      <c r="AN8" s="280"/>
      <c r="AO8" s="279"/>
      <c r="AP8" s="280"/>
      <c r="AQ8" s="279"/>
      <c r="AR8" s="280"/>
      <c r="AS8" s="660"/>
      <c r="AT8" s="657"/>
      <c r="AU8" s="660"/>
      <c r="AV8" s="657"/>
      <c r="AW8" s="660"/>
      <c r="AX8" s="652"/>
      <c r="AY8" s="662">
        <f>SUM(AG8,AI8,AK8,AM8,AO8,AQ8,AS8,AU8,AW8)</f>
        <v>0</v>
      </c>
      <c r="AZ8" s="663">
        <f>SUM(AH8,AJ8,AL8,AN8,AP8,AR8,AT8,AV8,AX8)</f>
        <v>0</v>
      </c>
      <c r="BA8" s="31">
        <f>'t1'!AQ6</f>
        <v>0</v>
      </c>
    </row>
    <row r="9" spans="1:53" ht="12.75" customHeight="1">
      <c r="A9" s="158" t="str">
        <f>'t1'!A7</f>
        <v>DIRIGENTE I FASCIA A TEMPO DETERM.</v>
      </c>
      <c r="B9" s="230" t="str">
        <f>'t1'!B7</f>
        <v>0D0078</v>
      </c>
      <c r="C9" s="915">
        <f aca="true" t="shared" si="17" ref="C9:C24">ROUND(AG9,0)</f>
        <v>0</v>
      </c>
      <c r="D9" s="916">
        <f t="shared" si="0"/>
        <v>0</v>
      </c>
      <c r="E9" s="915">
        <f t="shared" si="1"/>
        <v>0</v>
      </c>
      <c r="F9" s="916">
        <f t="shared" si="2"/>
        <v>0</v>
      </c>
      <c r="G9" s="915">
        <f t="shared" si="3"/>
        <v>0</v>
      </c>
      <c r="H9" s="916">
        <f t="shared" si="4"/>
        <v>0</v>
      </c>
      <c r="I9" s="915">
        <f t="shared" si="5"/>
        <v>0</v>
      </c>
      <c r="J9" s="916">
        <f t="shared" si="6"/>
        <v>0</v>
      </c>
      <c r="K9" s="915">
        <f t="shared" si="7"/>
        <v>0</v>
      </c>
      <c r="L9" s="916">
        <f t="shared" si="8"/>
        <v>0</v>
      </c>
      <c r="M9" s="915">
        <f t="shared" si="9"/>
        <v>0</v>
      </c>
      <c r="N9" s="916">
        <f t="shared" si="10"/>
        <v>0</v>
      </c>
      <c r="O9" s="915">
        <f t="shared" si="11"/>
        <v>0</v>
      </c>
      <c r="P9" s="917">
        <f t="shared" si="12"/>
        <v>0</v>
      </c>
      <c r="Q9" s="915">
        <f t="shared" si="13"/>
        <v>0</v>
      </c>
      <c r="R9" s="917">
        <f t="shared" si="14"/>
        <v>0</v>
      </c>
      <c r="S9" s="915">
        <f t="shared" si="15"/>
        <v>0</v>
      </c>
      <c r="T9" s="918">
        <f t="shared" si="16"/>
        <v>0</v>
      </c>
      <c r="U9" s="557">
        <f aca="true" t="shared" si="18" ref="U9:U24">SUM(C9,E9,G9,I9,K9,M9,O9,Q9,S9)</f>
        <v>0</v>
      </c>
      <c r="V9" s="559">
        <f aca="true" t="shared" si="19" ref="V9:V24">SUM(D9,F9,H9,J9,L9,N9,P9,R9,T9)</f>
        <v>0</v>
      </c>
      <c r="W9" s="31">
        <f>'t1'!M7</f>
        <v>0</v>
      </c>
      <c r="AG9" s="281"/>
      <c r="AH9" s="282"/>
      <c r="AI9" s="281"/>
      <c r="AJ9" s="282"/>
      <c r="AK9" s="281"/>
      <c r="AL9" s="282"/>
      <c r="AM9" s="281"/>
      <c r="AN9" s="282"/>
      <c r="AO9" s="281"/>
      <c r="AP9" s="282"/>
      <c r="AQ9" s="281"/>
      <c r="AR9" s="282"/>
      <c r="AS9" s="281"/>
      <c r="AT9" s="658"/>
      <c r="AU9" s="281"/>
      <c r="AV9" s="658"/>
      <c r="AW9" s="281"/>
      <c r="AX9" s="653"/>
      <c r="AY9" s="557">
        <f aca="true" t="shared" si="20" ref="AY9:AY24">SUM(AG9,AI9,AK9,AM9,AO9,AQ9,AS9,AU9,AW9)</f>
        <v>0</v>
      </c>
      <c r="AZ9" s="559">
        <f aca="true" t="shared" si="21" ref="AZ9:AZ24">SUM(AH9,AJ9,AL9,AN9,AP9,AR9,AT9,AV9,AX9)</f>
        <v>0</v>
      </c>
      <c r="BA9" s="31">
        <f>'t1'!AQ7</f>
        <v>0</v>
      </c>
    </row>
    <row r="10" spans="1:53" ht="12.75" customHeight="1">
      <c r="A10" s="158" t="str">
        <f>'t1'!A8</f>
        <v>DIRIGENTE II FASCIA</v>
      </c>
      <c r="B10" s="230" t="str">
        <f>'t1'!B8</f>
        <v>0D0079</v>
      </c>
      <c r="C10" s="915">
        <f t="shared" si="17"/>
        <v>0</v>
      </c>
      <c r="D10" s="916">
        <f t="shared" si="0"/>
        <v>0</v>
      </c>
      <c r="E10" s="915">
        <f t="shared" si="1"/>
        <v>0</v>
      </c>
      <c r="F10" s="916">
        <f t="shared" si="2"/>
        <v>0</v>
      </c>
      <c r="G10" s="915">
        <f t="shared" si="3"/>
        <v>0</v>
      </c>
      <c r="H10" s="916">
        <f t="shared" si="4"/>
        <v>0</v>
      </c>
      <c r="I10" s="915">
        <f t="shared" si="5"/>
        <v>0</v>
      </c>
      <c r="J10" s="916">
        <f t="shared" si="6"/>
        <v>0</v>
      </c>
      <c r="K10" s="915">
        <f t="shared" si="7"/>
        <v>0</v>
      </c>
      <c r="L10" s="916">
        <f t="shared" si="8"/>
        <v>0</v>
      </c>
      <c r="M10" s="915">
        <f t="shared" si="9"/>
        <v>0</v>
      </c>
      <c r="N10" s="916">
        <f t="shared" si="10"/>
        <v>0</v>
      </c>
      <c r="O10" s="915">
        <f t="shared" si="11"/>
        <v>0</v>
      </c>
      <c r="P10" s="917">
        <f t="shared" si="12"/>
        <v>0</v>
      </c>
      <c r="Q10" s="915">
        <f t="shared" si="13"/>
        <v>0</v>
      </c>
      <c r="R10" s="917">
        <f t="shared" si="14"/>
        <v>0</v>
      </c>
      <c r="S10" s="915">
        <f t="shared" si="15"/>
        <v>0</v>
      </c>
      <c r="T10" s="918">
        <f t="shared" si="16"/>
        <v>0</v>
      </c>
      <c r="U10" s="557">
        <f t="shared" si="18"/>
        <v>0</v>
      </c>
      <c r="V10" s="559">
        <f t="shared" si="19"/>
        <v>0</v>
      </c>
      <c r="W10" s="31">
        <f>'t1'!M8</f>
        <v>0</v>
      </c>
      <c r="AG10" s="281"/>
      <c r="AH10" s="282"/>
      <c r="AI10" s="281"/>
      <c r="AJ10" s="282"/>
      <c r="AK10" s="281"/>
      <c r="AL10" s="282"/>
      <c r="AM10" s="281"/>
      <c r="AN10" s="282"/>
      <c r="AO10" s="281"/>
      <c r="AP10" s="282"/>
      <c r="AQ10" s="281"/>
      <c r="AR10" s="282"/>
      <c r="AS10" s="281"/>
      <c r="AT10" s="658"/>
      <c r="AU10" s="281"/>
      <c r="AV10" s="658"/>
      <c r="AW10" s="281"/>
      <c r="AX10" s="653"/>
      <c r="AY10" s="557">
        <f t="shared" si="20"/>
        <v>0</v>
      </c>
      <c r="AZ10" s="559">
        <f t="shared" si="21"/>
        <v>0</v>
      </c>
      <c r="BA10" s="31">
        <f>'t1'!AQ8</f>
        <v>0</v>
      </c>
    </row>
    <row r="11" spans="1:53" ht="12.75" customHeight="1">
      <c r="A11" s="158" t="str">
        <f>'t1'!A9</f>
        <v>DIRIGENTE II FASCIA A TEMPO DETERM.</v>
      </c>
      <c r="B11" s="230" t="str">
        <f>'t1'!B9</f>
        <v>0D0080</v>
      </c>
      <c r="C11" s="915">
        <f t="shared" si="17"/>
        <v>0</v>
      </c>
      <c r="D11" s="916">
        <f t="shared" si="0"/>
        <v>0</v>
      </c>
      <c r="E11" s="915">
        <f t="shared" si="1"/>
        <v>0</v>
      </c>
      <c r="F11" s="916">
        <f t="shared" si="2"/>
        <v>0</v>
      </c>
      <c r="G11" s="915">
        <f t="shared" si="3"/>
        <v>0</v>
      </c>
      <c r="H11" s="916">
        <f t="shared" si="4"/>
        <v>0</v>
      </c>
      <c r="I11" s="915">
        <f t="shared" si="5"/>
        <v>0</v>
      </c>
      <c r="J11" s="916">
        <f t="shared" si="6"/>
        <v>0</v>
      </c>
      <c r="K11" s="915">
        <f t="shared" si="7"/>
        <v>0</v>
      </c>
      <c r="L11" s="916">
        <f t="shared" si="8"/>
        <v>0</v>
      </c>
      <c r="M11" s="915">
        <f t="shared" si="9"/>
        <v>0</v>
      </c>
      <c r="N11" s="916">
        <f t="shared" si="10"/>
        <v>0</v>
      </c>
      <c r="O11" s="915">
        <f t="shared" si="11"/>
        <v>0</v>
      </c>
      <c r="P11" s="917">
        <f t="shared" si="12"/>
        <v>0</v>
      </c>
      <c r="Q11" s="915">
        <f t="shared" si="13"/>
        <v>0</v>
      </c>
      <c r="R11" s="917">
        <f t="shared" si="14"/>
        <v>0</v>
      </c>
      <c r="S11" s="915">
        <f t="shared" si="15"/>
        <v>0</v>
      </c>
      <c r="T11" s="918">
        <f t="shared" si="16"/>
        <v>0</v>
      </c>
      <c r="U11" s="557">
        <f t="shared" si="18"/>
        <v>0</v>
      </c>
      <c r="V11" s="559">
        <f t="shared" si="19"/>
        <v>0</v>
      </c>
      <c r="W11" s="31">
        <f>'t1'!M9</f>
        <v>0</v>
      </c>
      <c r="AG11" s="281"/>
      <c r="AH11" s="282"/>
      <c r="AI11" s="281"/>
      <c r="AJ11" s="282"/>
      <c r="AK11" s="281"/>
      <c r="AL11" s="282"/>
      <c r="AM11" s="281"/>
      <c r="AN11" s="282"/>
      <c r="AO11" s="281"/>
      <c r="AP11" s="282"/>
      <c r="AQ11" s="281"/>
      <c r="AR11" s="282"/>
      <c r="AS11" s="281"/>
      <c r="AT11" s="658"/>
      <c r="AU11" s="281"/>
      <c r="AV11" s="658"/>
      <c r="AW11" s="281"/>
      <c r="AX11" s="653"/>
      <c r="AY11" s="557">
        <f t="shared" si="20"/>
        <v>0</v>
      </c>
      <c r="AZ11" s="559">
        <f t="shared" si="21"/>
        <v>0</v>
      </c>
      <c r="BA11" s="31">
        <f>'t1'!AQ9</f>
        <v>0</v>
      </c>
    </row>
    <row r="12" spans="1:53" ht="12.75" customHeight="1">
      <c r="A12" s="158" t="str">
        <f>'t1'!A10</f>
        <v>POSIZIONE ECONOMICA C5</v>
      </c>
      <c r="B12" s="230" t="str">
        <f>'t1'!B10</f>
        <v>046000</v>
      </c>
      <c r="C12" s="915">
        <f t="shared" si="17"/>
        <v>0</v>
      </c>
      <c r="D12" s="916">
        <f t="shared" si="0"/>
        <v>0</v>
      </c>
      <c r="E12" s="915">
        <f t="shared" si="1"/>
        <v>0</v>
      </c>
      <c r="F12" s="916">
        <f t="shared" si="2"/>
        <v>0</v>
      </c>
      <c r="G12" s="915">
        <f t="shared" si="3"/>
        <v>0</v>
      </c>
      <c r="H12" s="916">
        <f t="shared" si="4"/>
        <v>0</v>
      </c>
      <c r="I12" s="915">
        <f t="shared" si="5"/>
        <v>0</v>
      </c>
      <c r="J12" s="916">
        <f t="shared" si="6"/>
        <v>0</v>
      </c>
      <c r="K12" s="915">
        <f t="shared" si="7"/>
        <v>0</v>
      </c>
      <c r="L12" s="916">
        <f t="shared" si="8"/>
        <v>0</v>
      </c>
      <c r="M12" s="915">
        <f t="shared" si="9"/>
        <v>0</v>
      </c>
      <c r="N12" s="916">
        <f t="shared" si="10"/>
        <v>0</v>
      </c>
      <c r="O12" s="915">
        <f t="shared" si="11"/>
        <v>0</v>
      </c>
      <c r="P12" s="917">
        <f t="shared" si="12"/>
        <v>0</v>
      </c>
      <c r="Q12" s="915">
        <f t="shared" si="13"/>
        <v>0</v>
      </c>
      <c r="R12" s="917">
        <f t="shared" si="14"/>
        <v>0</v>
      </c>
      <c r="S12" s="915">
        <f t="shared" si="15"/>
        <v>0</v>
      </c>
      <c r="T12" s="918">
        <f t="shared" si="16"/>
        <v>0</v>
      </c>
      <c r="U12" s="557">
        <f t="shared" si="18"/>
        <v>0</v>
      </c>
      <c r="V12" s="559">
        <f t="shared" si="19"/>
        <v>0</v>
      </c>
      <c r="W12" s="31">
        <f>'t1'!M10</f>
        <v>0</v>
      </c>
      <c r="AG12" s="281"/>
      <c r="AH12" s="282"/>
      <c r="AI12" s="281"/>
      <c r="AJ12" s="282"/>
      <c r="AK12" s="281"/>
      <c r="AL12" s="282"/>
      <c r="AM12" s="281"/>
      <c r="AN12" s="282"/>
      <c r="AO12" s="281"/>
      <c r="AP12" s="282"/>
      <c r="AQ12" s="281"/>
      <c r="AR12" s="282"/>
      <c r="AS12" s="281"/>
      <c r="AT12" s="658"/>
      <c r="AU12" s="281"/>
      <c r="AV12" s="658"/>
      <c r="AW12" s="281"/>
      <c r="AX12" s="653"/>
      <c r="AY12" s="557">
        <f t="shared" si="20"/>
        <v>0</v>
      </c>
      <c r="AZ12" s="559">
        <f t="shared" si="21"/>
        <v>0</v>
      </c>
      <c r="BA12" s="31">
        <f>'t1'!AQ10</f>
        <v>0</v>
      </c>
    </row>
    <row r="13" spans="1:53" ht="12.75" customHeight="1">
      <c r="A13" s="158" t="str">
        <f>'t1'!A11</f>
        <v>POSIZIONE ECONOMICA C4</v>
      </c>
      <c r="B13" s="230" t="str">
        <f>'t1'!B11</f>
        <v>045000</v>
      </c>
      <c r="C13" s="915">
        <f t="shared" si="17"/>
        <v>0</v>
      </c>
      <c r="D13" s="916">
        <f t="shared" si="0"/>
        <v>0</v>
      </c>
      <c r="E13" s="915">
        <f t="shared" si="1"/>
        <v>0</v>
      </c>
      <c r="F13" s="916">
        <f t="shared" si="2"/>
        <v>0</v>
      </c>
      <c r="G13" s="915">
        <f t="shared" si="3"/>
        <v>0</v>
      </c>
      <c r="H13" s="916">
        <f t="shared" si="4"/>
        <v>0</v>
      </c>
      <c r="I13" s="915">
        <f t="shared" si="5"/>
        <v>0</v>
      </c>
      <c r="J13" s="916">
        <f t="shared" si="6"/>
        <v>0</v>
      </c>
      <c r="K13" s="915">
        <f t="shared" si="7"/>
        <v>0</v>
      </c>
      <c r="L13" s="916">
        <f t="shared" si="8"/>
        <v>0</v>
      </c>
      <c r="M13" s="915">
        <f t="shared" si="9"/>
        <v>0</v>
      </c>
      <c r="N13" s="916">
        <f t="shared" si="10"/>
        <v>0</v>
      </c>
      <c r="O13" s="915">
        <f t="shared" si="11"/>
        <v>0</v>
      </c>
      <c r="P13" s="917">
        <f t="shared" si="12"/>
        <v>0</v>
      </c>
      <c r="Q13" s="915">
        <f t="shared" si="13"/>
        <v>0</v>
      </c>
      <c r="R13" s="917">
        <f t="shared" si="14"/>
        <v>0</v>
      </c>
      <c r="S13" s="915">
        <f t="shared" si="15"/>
        <v>0</v>
      </c>
      <c r="T13" s="918">
        <f t="shared" si="16"/>
        <v>0</v>
      </c>
      <c r="U13" s="557">
        <f t="shared" si="18"/>
        <v>0</v>
      </c>
      <c r="V13" s="559">
        <f t="shared" si="19"/>
        <v>0</v>
      </c>
      <c r="W13" s="31">
        <f>'t1'!M11</f>
        <v>0</v>
      </c>
      <c r="AG13" s="281"/>
      <c r="AH13" s="282"/>
      <c r="AI13" s="281"/>
      <c r="AJ13" s="282"/>
      <c r="AK13" s="281"/>
      <c r="AL13" s="282"/>
      <c r="AM13" s="281"/>
      <c r="AN13" s="282"/>
      <c r="AO13" s="281"/>
      <c r="AP13" s="282"/>
      <c r="AQ13" s="281"/>
      <c r="AR13" s="282"/>
      <c r="AS13" s="281"/>
      <c r="AT13" s="658"/>
      <c r="AU13" s="281"/>
      <c r="AV13" s="658"/>
      <c r="AW13" s="281"/>
      <c r="AX13" s="653"/>
      <c r="AY13" s="557">
        <f t="shared" si="20"/>
        <v>0</v>
      </c>
      <c r="AZ13" s="559">
        <f t="shared" si="21"/>
        <v>0</v>
      </c>
      <c r="BA13" s="31">
        <f>'t1'!AQ11</f>
        <v>0</v>
      </c>
    </row>
    <row r="14" spans="1:53" ht="12.75" customHeight="1">
      <c r="A14" s="158" t="str">
        <f>'t1'!A12</f>
        <v>POSIZIONE ECONOMICA C3</v>
      </c>
      <c r="B14" s="230" t="str">
        <f>'t1'!B12</f>
        <v>043000</v>
      </c>
      <c r="C14" s="915">
        <f t="shared" si="17"/>
        <v>0</v>
      </c>
      <c r="D14" s="916">
        <f t="shared" si="0"/>
        <v>0</v>
      </c>
      <c r="E14" s="915">
        <f t="shared" si="1"/>
        <v>0</v>
      </c>
      <c r="F14" s="916">
        <f t="shared" si="2"/>
        <v>0</v>
      </c>
      <c r="G14" s="915">
        <f t="shared" si="3"/>
        <v>0</v>
      </c>
      <c r="H14" s="916">
        <f t="shared" si="4"/>
        <v>0</v>
      </c>
      <c r="I14" s="915">
        <f t="shared" si="5"/>
        <v>0</v>
      </c>
      <c r="J14" s="916">
        <f t="shared" si="6"/>
        <v>0</v>
      </c>
      <c r="K14" s="915">
        <f t="shared" si="7"/>
        <v>0</v>
      </c>
      <c r="L14" s="916">
        <f t="shared" si="8"/>
        <v>0</v>
      </c>
      <c r="M14" s="915">
        <f t="shared" si="9"/>
        <v>0</v>
      </c>
      <c r="N14" s="916">
        <f t="shared" si="10"/>
        <v>0</v>
      </c>
      <c r="O14" s="915">
        <f t="shared" si="11"/>
        <v>0</v>
      </c>
      <c r="P14" s="917">
        <f t="shared" si="12"/>
        <v>0</v>
      </c>
      <c r="Q14" s="915">
        <f t="shared" si="13"/>
        <v>0</v>
      </c>
      <c r="R14" s="917">
        <f t="shared" si="14"/>
        <v>0</v>
      </c>
      <c r="S14" s="915">
        <f t="shared" si="15"/>
        <v>0</v>
      </c>
      <c r="T14" s="918">
        <f t="shared" si="16"/>
        <v>0</v>
      </c>
      <c r="U14" s="557">
        <f t="shared" si="18"/>
        <v>0</v>
      </c>
      <c r="V14" s="559">
        <f t="shared" si="19"/>
        <v>0</v>
      </c>
      <c r="W14" s="31">
        <f>'t1'!M12</f>
        <v>0</v>
      </c>
      <c r="AG14" s="281"/>
      <c r="AH14" s="282"/>
      <c r="AI14" s="281"/>
      <c r="AJ14" s="282"/>
      <c r="AK14" s="281"/>
      <c r="AL14" s="282"/>
      <c r="AM14" s="281"/>
      <c r="AN14" s="282"/>
      <c r="AO14" s="281"/>
      <c r="AP14" s="282"/>
      <c r="AQ14" s="281"/>
      <c r="AR14" s="282"/>
      <c r="AS14" s="281"/>
      <c r="AT14" s="658"/>
      <c r="AU14" s="281"/>
      <c r="AV14" s="658"/>
      <c r="AW14" s="281"/>
      <c r="AX14" s="653"/>
      <c r="AY14" s="557">
        <f t="shared" si="20"/>
        <v>0</v>
      </c>
      <c r="AZ14" s="559">
        <f t="shared" si="21"/>
        <v>0</v>
      </c>
      <c r="BA14" s="31">
        <f>'t1'!AQ12</f>
        <v>0</v>
      </c>
    </row>
    <row r="15" spans="1:53" ht="12.75" customHeight="1">
      <c r="A15" s="158" t="str">
        <f>'t1'!A13</f>
        <v>POSIZIONE ECONOMICA C2</v>
      </c>
      <c r="B15" s="230" t="str">
        <f>'t1'!B13</f>
        <v>042000</v>
      </c>
      <c r="C15" s="915">
        <f t="shared" si="17"/>
        <v>0</v>
      </c>
      <c r="D15" s="916">
        <f t="shared" si="0"/>
        <v>0</v>
      </c>
      <c r="E15" s="915">
        <f t="shared" si="1"/>
        <v>0</v>
      </c>
      <c r="F15" s="916">
        <f t="shared" si="2"/>
        <v>0</v>
      </c>
      <c r="G15" s="915">
        <f t="shared" si="3"/>
        <v>0</v>
      </c>
      <c r="H15" s="916">
        <f t="shared" si="4"/>
        <v>0</v>
      </c>
      <c r="I15" s="915">
        <f t="shared" si="5"/>
        <v>0</v>
      </c>
      <c r="J15" s="916">
        <f t="shared" si="6"/>
        <v>0</v>
      </c>
      <c r="K15" s="915">
        <f t="shared" si="7"/>
        <v>0</v>
      </c>
      <c r="L15" s="916">
        <f t="shared" si="8"/>
        <v>0</v>
      </c>
      <c r="M15" s="915">
        <f t="shared" si="9"/>
        <v>0</v>
      </c>
      <c r="N15" s="916">
        <f t="shared" si="10"/>
        <v>0</v>
      </c>
      <c r="O15" s="915">
        <f t="shared" si="11"/>
        <v>0</v>
      </c>
      <c r="P15" s="917">
        <f t="shared" si="12"/>
        <v>0</v>
      </c>
      <c r="Q15" s="915">
        <f t="shared" si="13"/>
        <v>0</v>
      </c>
      <c r="R15" s="917">
        <f t="shared" si="14"/>
        <v>0</v>
      </c>
      <c r="S15" s="915">
        <f t="shared" si="15"/>
        <v>0</v>
      </c>
      <c r="T15" s="918">
        <f t="shared" si="16"/>
        <v>0</v>
      </c>
      <c r="U15" s="557">
        <f t="shared" si="18"/>
        <v>0</v>
      </c>
      <c r="V15" s="559">
        <f t="shared" si="19"/>
        <v>0</v>
      </c>
      <c r="W15" s="31">
        <f>'t1'!M13</f>
        <v>0</v>
      </c>
      <c r="AG15" s="281"/>
      <c r="AH15" s="282"/>
      <c r="AI15" s="281"/>
      <c r="AJ15" s="282"/>
      <c r="AK15" s="281"/>
      <c r="AL15" s="282"/>
      <c r="AM15" s="281"/>
      <c r="AN15" s="282"/>
      <c r="AO15" s="281"/>
      <c r="AP15" s="282"/>
      <c r="AQ15" s="281"/>
      <c r="AR15" s="282"/>
      <c r="AS15" s="281"/>
      <c r="AT15" s="658"/>
      <c r="AU15" s="281"/>
      <c r="AV15" s="658"/>
      <c r="AW15" s="281"/>
      <c r="AX15" s="653"/>
      <c r="AY15" s="557">
        <f t="shared" si="20"/>
        <v>0</v>
      </c>
      <c r="AZ15" s="559">
        <f t="shared" si="21"/>
        <v>0</v>
      </c>
      <c r="BA15" s="31">
        <f>'t1'!AQ13</f>
        <v>0</v>
      </c>
    </row>
    <row r="16" spans="1:53" ht="12.75" customHeight="1">
      <c r="A16" s="158" t="str">
        <f>'t1'!A14</f>
        <v>POSIZIONE ECONOMICA C1</v>
      </c>
      <c r="B16" s="230" t="str">
        <f>'t1'!B14</f>
        <v>040000</v>
      </c>
      <c r="C16" s="915">
        <f t="shared" si="17"/>
        <v>0</v>
      </c>
      <c r="D16" s="916">
        <f t="shared" si="0"/>
        <v>0</v>
      </c>
      <c r="E16" s="915">
        <f t="shared" si="1"/>
        <v>0</v>
      </c>
      <c r="F16" s="916">
        <f t="shared" si="2"/>
        <v>0</v>
      </c>
      <c r="G16" s="915">
        <f t="shared" si="3"/>
        <v>0</v>
      </c>
      <c r="H16" s="916">
        <f t="shared" si="4"/>
        <v>0</v>
      </c>
      <c r="I16" s="915">
        <f t="shared" si="5"/>
        <v>0</v>
      </c>
      <c r="J16" s="916">
        <f t="shared" si="6"/>
        <v>0</v>
      </c>
      <c r="K16" s="915">
        <f t="shared" si="7"/>
        <v>0</v>
      </c>
      <c r="L16" s="916">
        <f t="shared" si="8"/>
        <v>0</v>
      </c>
      <c r="M16" s="915">
        <f t="shared" si="9"/>
        <v>0</v>
      </c>
      <c r="N16" s="916">
        <f t="shared" si="10"/>
        <v>0</v>
      </c>
      <c r="O16" s="915">
        <f t="shared" si="11"/>
        <v>0</v>
      </c>
      <c r="P16" s="917">
        <f t="shared" si="12"/>
        <v>0</v>
      </c>
      <c r="Q16" s="915">
        <f t="shared" si="13"/>
        <v>0</v>
      </c>
      <c r="R16" s="917">
        <f t="shared" si="14"/>
        <v>0</v>
      </c>
      <c r="S16" s="915">
        <f t="shared" si="15"/>
        <v>0</v>
      </c>
      <c r="T16" s="918">
        <f t="shared" si="16"/>
        <v>0</v>
      </c>
      <c r="U16" s="557">
        <f t="shared" si="18"/>
        <v>0</v>
      </c>
      <c r="V16" s="559">
        <f t="shared" si="19"/>
        <v>0</v>
      </c>
      <c r="W16" s="31">
        <f>'t1'!M14</f>
        <v>0</v>
      </c>
      <c r="AG16" s="281"/>
      <c r="AH16" s="282"/>
      <c r="AI16" s="281"/>
      <c r="AJ16" s="282"/>
      <c r="AK16" s="281"/>
      <c r="AL16" s="282"/>
      <c r="AM16" s="281"/>
      <c r="AN16" s="282"/>
      <c r="AO16" s="281"/>
      <c r="AP16" s="282"/>
      <c r="AQ16" s="281"/>
      <c r="AR16" s="282"/>
      <c r="AS16" s="281"/>
      <c r="AT16" s="658"/>
      <c r="AU16" s="281"/>
      <c r="AV16" s="658"/>
      <c r="AW16" s="281"/>
      <c r="AX16" s="653"/>
      <c r="AY16" s="557">
        <f t="shared" si="20"/>
        <v>0</v>
      </c>
      <c r="AZ16" s="559">
        <f t="shared" si="21"/>
        <v>0</v>
      </c>
      <c r="BA16" s="31">
        <f>'t1'!AQ14</f>
        <v>0</v>
      </c>
    </row>
    <row r="17" spans="1:53" ht="12.75" customHeight="1">
      <c r="A17" s="158" t="str">
        <f>'t1'!A15</f>
        <v>POSIZIONE ECONOMICA B4</v>
      </c>
      <c r="B17" s="230" t="str">
        <f>'t1'!B15</f>
        <v>036000</v>
      </c>
      <c r="C17" s="915">
        <f t="shared" si="17"/>
        <v>0</v>
      </c>
      <c r="D17" s="916">
        <f t="shared" si="0"/>
        <v>0</v>
      </c>
      <c r="E17" s="915">
        <f t="shared" si="1"/>
        <v>0</v>
      </c>
      <c r="F17" s="916">
        <f t="shared" si="2"/>
        <v>0</v>
      </c>
      <c r="G17" s="915">
        <f t="shared" si="3"/>
        <v>0</v>
      </c>
      <c r="H17" s="916">
        <f t="shared" si="4"/>
        <v>0</v>
      </c>
      <c r="I17" s="915">
        <f t="shared" si="5"/>
        <v>0</v>
      </c>
      <c r="J17" s="916">
        <f t="shared" si="6"/>
        <v>0</v>
      </c>
      <c r="K17" s="915">
        <f t="shared" si="7"/>
        <v>0</v>
      </c>
      <c r="L17" s="916">
        <f t="shared" si="8"/>
        <v>0</v>
      </c>
      <c r="M17" s="915">
        <f t="shared" si="9"/>
        <v>0</v>
      </c>
      <c r="N17" s="916">
        <f t="shared" si="10"/>
        <v>0</v>
      </c>
      <c r="O17" s="915">
        <f t="shared" si="11"/>
        <v>0</v>
      </c>
      <c r="P17" s="917">
        <f t="shared" si="12"/>
        <v>0</v>
      </c>
      <c r="Q17" s="915">
        <f t="shared" si="13"/>
        <v>0</v>
      </c>
      <c r="R17" s="917">
        <f t="shared" si="14"/>
        <v>0</v>
      </c>
      <c r="S17" s="915">
        <f t="shared" si="15"/>
        <v>0</v>
      </c>
      <c r="T17" s="918">
        <f t="shared" si="16"/>
        <v>0</v>
      </c>
      <c r="U17" s="557">
        <f t="shared" si="18"/>
        <v>0</v>
      </c>
      <c r="V17" s="559">
        <f t="shared" si="19"/>
        <v>0</v>
      </c>
      <c r="W17" s="31">
        <f>'t1'!M15</f>
        <v>0</v>
      </c>
      <c r="AG17" s="281"/>
      <c r="AH17" s="282"/>
      <c r="AI17" s="281"/>
      <c r="AJ17" s="282"/>
      <c r="AK17" s="281"/>
      <c r="AL17" s="282"/>
      <c r="AM17" s="281"/>
      <c r="AN17" s="282"/>
      <c r="AO17" s="281"/>
      <c r="AP17" s="282"/>
      <c r="AQ17" s="281"/>
      <c r="AR17" s="282"/>
      <c r="AS17" s="281"/>
      <c r="AT17" s="658"/>
      <c r="AU17" s="281"/>
      <c r="AV17" s="658"/>
      <c r="AW17" s="281"/>
      <c r="AX17" s="653"/>
      <c r="AY17" s="557">
        <f t="shared" si="20"/>
        <v>0</v>
      </c>
      <c r="AZ17" s="559">
        <f t="shared" si="21"/>
        <v>0</v>
      </c>
      <c r="BA17" s="31">
        <f>'t1'!AQ15</f>
        <v>0</v>
      </c>
    </row>
    <row r="18" spans="1:53" ht="12.75" customHeight="1">
      <c r="A18" s="158" t="str">
        <f>'t1'!A16</f>
        <v>POSIZIONE ECONOMICA B3</v>
      </c>
      <c r="B18" s="230" t="str">
        <f>'t1'!B16</f>
        <v>034000</v>
      </c>
      <c r="C18" s="915">
        <f t="shared" si="17"/>
        <v>0</v>
      </c>
      <c r="D18" s="916">
        <f t="shared" si="0"/>
        <v>0</v>
      </c>
      <c r="E18" s="915">
        <f t="shared" si="1"/>
        <v>0</v>
      </c>
      <c r="F18" s="916">
        <f t="shared" si="2"/>
        <v>0</v>
      </c>
      <c r="G18" s="915">
        <f t="shared" si="3"/>
        <v>0</v>
      </c>
      <c r="H18" s="916">
        <f t="shared" si="4"/>
        <v>0</v>
      </c>
      <c r="I18" s="915">
        <f t="shared" si="5"/>
        <v>0</v>
      </c>
      <c r="J18" s="916">
        <f t="shared" si="6"/>
        <v>0</v>
      </c>
      <c r="K18" s="915">
        <f t="shared" si="7"/>
        <v>0</v>
      </c>
      <c r="L18" s="916">
        <f t="shared" si="8"/>
        <v>0</v>
      </c>
      <c r="M18" s="915">
        <f t="shared" si="9"/>
        <v>0</v>
      </c>
      <c r="N18" s="916">
        <f t="shared" si="10"/>
        <v>0</v>
      </c>
      <c r="O18" s="915">
        <f t="shared" si="11"/>
        <v>0</v>
      </c>
      <c r="P18" s="917">
        <f t="shared" si="12"/>
        <v>0</v>
      </c>
      <c r="Q18" s="915">
        <f t="shared" si="13"/>
        <v>0</v>
      </c>
      <c r="R18" s="917">
        <f t="shared" si="14"/>
        <v>0</v>
      </c>
      <c r="S18" s="915">
        <f t="shared" si="15"/>
        <v>0</v>
      </c>
      <c r="T18" s="918">
        <f t="shared" si="16"/>
        <v>0</v>
      </c>
      <c r="U18" s="557">
        <f t="shared" si="18"/>
        <v>0</v>
      </c>
      <c r="V18" s="559">
        <f t="shared" si="19"/>
        <v>0</v>
      </c>
      <c r="W18" s="31">
        <f>'t1'!M16</f>
        <v>0</v>
      </c>
      <c r="AG18" s="281"/>
      <c r="AH18" s="282"/>
      <c r="AI18" s="281"/>
      <c r="AJ18" s="282"/>
      <c r="AK18" s="281"/>
      <c r="AL18" s="282"/>
      <c r="AM18" s="281"/>
      <c r="AN18" s="282"/>
      <c r="AO18" s="281"/>
      <c r="AP18" s="282"/>
      <c r="AQ18" s="281"/>
      <c r="AR18" s="282"/>
      <c r="AS18" s="281"/>
      <c r="AT18" s="658"/>
      <c r="AU18" s="281"/>
      <c r="AV18" s="658"/>
      <c r="AW18" s="281"/>
      <c r="AX18" s="653"/>
      <c r="AY18" s="557">
        <f t="shared" si="20"/>
        <v>0</v>
      </c>
      <c r="AZ18" s="559">
        <f t="shared" si="21"/>
        <v>0</v>
      </c>
      <c r="BA18" s="31">
        <f>'t1'!AQ16</f>
        <v>0</v>
      </c>
    </row>
    <row r="19" spans="1:53" ht="12.75" customHeight="1">
      <c r="A19" s="158" t="str">
        <f>'t1'!A17</f>
        <v>POSIZIONE ECONOMICA B2</v>
      </c>
      <c r="B19" s="230" t="str">
        <f>'t1'!B17</f>
        <v>032000</v>
      </c>
      <c r="C19" s="915">
        <f t="shared" si="17"/>
        <v>0</v>
      </c>
      <c r="D19" s="916">
        <f t="shared" si="0"/>
        <v>0</v>
      </c>
      <c r="E19" s="915">
        <f t="shared" si="1"/>
        <v>0</v>
      </c>
      <c r="F19" s="916">
        <f t="shared" si="2"/>
        <v>0</v>
      </c>
      <c r="G19" s="915">
        <f t="shared" si="3"/>
        <v>0</v>
      </c>
      <c r="H19" s="916">
        <f t="shared" si="4"/>
        <v>0</v>
      </c>
      <c r="I19" s="915">
        <f t="shared" si="5"/>
        <v>0</v>
      </c>
      <c r="J19" s="916">
        <f t="shared" si="6"/>
        <v>0</v>
      </c>
      <c r="K19" s="915">
        <f t="shared" si="7"/>
        <v>0</v>
      </c>
      <c r="L19" s="916">
        <f t="shared" si="8"/>
        <v>0</v>
      </c>
      <c r="M19" s="915">
        <f t="shared" si="9"/>
        <v>0</v>
      </c>
      <c r="N19" s="916">
        <f t="shared" si="10"/>
        <v>0</v>
      </c>
      <c r="O19" s="915">
        <f t="shared" si="11"/>
        <v>0</v>
      </c>
      <c r="P19" s="917">
        <f t="shared" si="12"/>
        <v>0</v>
      </c>
      <c r="Q19" s="915">
        <f t="shared" si="13"/>
        <v>0</v>
      </c>
      <c r="R19" s="917">
        <f t="shared" si="14"/>
        <v>0</v>
      </c>
      <c r="S19" s="915">
        <f t="shared" si="15"/>
        <v>0</v>
      </c>
      <c r="T19" s="918">
        <f t="shared" si="16"/>
        <v>0</v>
      </c>
      <c r="U19" s="557">
        <f t="shared" si="18"/>
        <v>0</v>
      </c>
      <c r="V19" s="559">
        <f t="shared" si="19"/>
        <v>0</v>
      </c>
      <c r="W19" s="31">
        <f>'t1'!M17</f>
        <v>0</v>
      </c>
      <c r="AG19" s="281"/>
      <c r="AH19" s="282"/>
      <c r="AI19" s="281"/>
      <c r="AJ19" s="282"/>
      <c r="AK19" s="281"/>
      <c r="AL19" s="282"/>
      <c r="AM19" s="281"/>
      <c r="AN19" s="282"/>
      <c r="AO19" s="281"/>
      <c r="AP19" s="282"/>
      <c r="AQ19" s="281"/>
      <c r="AR19" s="282"/>
      <c r="AS19" s="281"/>
      <c r="AT19" s="658"/>
      <c r="AU19" s="281"/>
      <c r="AV19" s="658"/>
      <c r="AW19" s="281"/>
      <c r="AX19" s="653"/>
      <c r="AY19" s="557">
        <f t="shared" si="20"/>
        <v>0</v>
      </c>
      <c r="AZ19" s="559">
        <f t="shared" si="21"/>
        <v>0</v>
      </c>
      <c r="BA19" s="31">
        <f>'t1'!AQ17</f>
        <v>0</v>
      </c>
    </row>
    <row r="20" spans="1:53" ht="12.75" customHeight="1">
      <c r="A20" s="158" t="str">
        <f>'t1'!A18</f>
        <v>POSIZIONE ECONOMICA B1</v>
      </c>
      <c r="B20" s="230" t="str">
        <f>'t1'!B18</f>
        <v>030000</v>
      </c>
      <c r="C20" s="915">
        <f t="shared" si="17"/>
        <v>0</v>
      </c>
      <c r="D20" s="916">
        <f t="shared" si="0"/>
        <v>0</v>
      </c>
      <c r="E20" s="915">
        <f t="shared" si="1"/>
        <v>0</v>
      </c>
      <c r="F20" s="916">
        <f t="shared" si="2"/>
        <v>0</v>
      </c>
      <c r="G20" s="915">
        <f t="shared" si="3"/>
        <v>0</v>
      </c>
      <c r="H20" s="916">
        <f t="shared" si="4"/>
        <v>0</v>
      </c>
      <c r="I20" s="915">
        <f t="shared" si="5"/>
        <v>0</v>
      </c>
      <c r="J20" s="916">
        <f t="shared" si="6"/>
        <v>0</v>
      </c>
      <c r="K20" s="915">
        <f t="shared" si="7"/>
        <v>0</v>
      </c>
      <c r="L20" s="916">
        <f t="shared" si="8"/>
        <v>0</v>
      </c>
      <c r="M20" s="915">
        <f t="shared" si="9"/>
        <v>0</v>
      </c>
      <c r="N20" s="916">
        <f t="shared" si="10"/>
        <v>0</v>
      </c>
      <c r="O20" s="915">
        <f t="shared" si="11"/>
        <v>0</v>
      </c>
      <c r="P20" s="917">
        <f t="shared" si="12"/>
        <v>0</v>
      </c>
      <c r="Q20" s="915">
        <f t="shared" si="13"/>
        <v>0</v>
      </c>
      <c r="R20" s="917">
        <f t="shared" si="14"/>
        <v>0</v>
      </c>
      <c r="S20" s="915">
        <f t="shared" si="15"/>
        <v>0</v>
      </c>
      <c r="T20" s="918">
        <f t="shared" si="16"/>
        <v>0</v>
      </c>
      <c r="U20" s="557">
        <f t="shared" si="18"/>
        <v>0</v>
      </c>
      <c r="V20" s="559">
        <f t="shared" si="19"/>
        <v>0</v>
      </c>
      <c r="W20" s="31">
        <f>'t1'!M18</f>
        <v>0</v>
      </c>
      <c r="AG20" s="281"/>
      <c r="AH20" s="282"/>
      <c r="AI20" s="281"/>
      <c r="AJ20" s="282"/>
      <c r="AK20" s="281"/>
      <c r="AL20" s="282"/>
      <c r="AM20" s="281"/>
      <c r="AN20" s="282"/>
      <c r="AO20" s="281"/>
      <c r="AP20" s="282"/>
      <c r="AQ20" s="281"/>
      <c r="AR20" s="282"/>
      <c r="AS20" s="281"/>
      <c r="AT20" s="658"/>
      <c r="AU20" s="281"/>
      <c r="AV20" s="658"/>
      <c r="AW20" s="281"/>
      <c r="AX20" s="653"/>
      <c r="AY20" s="557">
        <f t="shared" si="20"/>
        <v>0</v>
      </c>
      <c r="AZ20" s="559">
        <f t="shared" si="21"/>
        <v>0</v>
      </c>
      <c r="BA20" s="31">
        <f>'t1'!AQ18</f>
        <v>0</v>
      </c>
    </row>
    <row r="21" spans="1:53" ht="12.75" customHeight="1">
      <c r="A21" s="158" t="str">
        <f>'t1'!A19</f>
        <v>POSIZIONE ECONOMICA A3</v>
      </c>
      <c r="B21" s="230" t="str">
        <f>'t1'!B19</f>
        <v>027000</v>
      </c>
      <c r="C21" s="915">
        <f t="shared" si="17"/>
        <v>0</v>
      </c>
      <c r="D21" s="916">
        <f t="shared" si="0"/>
        <v>0</v>
      </c>
      <c r="E21" s="915">
        <f t="shared" si="1"/>
        <v>0</v>
      </c>
      <c r="F21" s="916">
        <f t="shared" si="2"/>
        <v>0</v>
      </c>
      <c r="G21" s="915">
        <f t="shared" si="3"/>
        <v>0</v>
      </c>
      <c r="H21" s="916">
        <f t="shared" si="4"/>
        <v>0</v>
      </c>
      <c r="I21" s="915">
        <f t="shared" si="5"/>
        <v>0</v>
      </c>
      <c r="J21" s="916">
        <f t="shared" si="6"/>
        <v>0</v>
      </c>
      <c r="K21" s="915">
        <f t="shared" si="7"/>
        <v>0</v>
      </c>
      <c r="L21" s="916">
        <f t="shared" si="8"/>
        <v>0</v>
      </c>
      <c r="M21" s="915">
        <f t="shared" si="9"/>
        <v>0</v>
      </c>
      <c r="N21" s="916">
        <f t="shared" si="10"/>
        <v>0</v>
      </c>
      <c r="O21" s="915">
        <f t="shared" si="11"/>
        <v>0</v>
      </c>
      <c r="P21" s="917">
        <f t="shared" si="12"/>
        <v>0</v>
      </c>
      <c r="Q21" s="915">
        <f t="shared" si="13"/>
        <v>0</v>
      </c>
      <c r="R21" s="917">
        <f t="shared" si="14"/>
        <v>0</v>
      </c>
      <c r="S21" s="915">
        <f t="shared" si="15"/>
        <v>0</v>
      </c>
      <c r="T21" s="918">
        <f t="shared" si="16"/>
        <v>0</v>
      </c>
      <c r="U21" s="557">
        <f t="shared" si="18"/>
        <v>0</v>
      </c>
      <c r="V21" s="559">
        <f t="shared" si="19"/>
        <v>0</v>
      </c>
      <c r="W21" s="31">
        <f>'t1'!M19</f>
        <v>0</v>
      </c>
      <c r="AG21" s="281"/>
      <c r="AH21" s="282"/>
      <c r="AI21" s="281"/>
      <c r="AJ21" s="282"/>
      <c r="AK21" s="281"/>
      <c r="AL21" s="282"/>
      <c r="AM21" s="281"/>
      <c r="AN21" s="282"/>
      <c r="AO21" s="281"/>
      <c r="AP21" s="282"/>
      <c r="AQ21" s="281"/>
      <c r="AR21" s="282"/>
      <c r="AS21" s="281"/>
      <c r="AT21" s="658"/>
      <c r="AU21" s="281"/>
      <c r="AV21" s="658"/>
      <c r="AW21" s="281"/>
      <c r="AX21" s="653"/>
      <c r="AY21" s="557">
        <f t="shared" si="20"/>
        <v>0</v>
      </c>
      <c r="AZ21" s="559">
        <f t="shared" si="21"/>
        <v>0</v>
      </c>
      <c r="BA21" s="31">
        <f>'t1'!AQ19</f>
        <v>0</v>
      </c>
    </row>
    <row r="22" spans="1:53" ht="12.75" customHeight="1">
      <c r="A22" s="158" t="str">
        <f>'t1'!A20</f>
        <v>POSIZIONE ECONOMICA A2</v>
      </c>
      <c r="B22" s="230" t="str">
        <f>'t1'!B20</f>
        <v>025000</v>
      </c>
      <c r="C22" s="915">
        <f t="shared" si="17"/>
        <v>0</v>
      </c>
      <c r="D22" s="916">
        <f t="shared" si="0"/>
        <v>0</v>
      </c>
      <c r="E22" s="915">
        <f t="shared" si="1"/>
        <v>0</v>
      </c>
      <c r="F22" s="916">
        <f t="shared" si="2"/>
        <v>0</v>
      </c>
      <c r="G22" s="915">
        <f t="shared" si="3"/>
        <v>0</v>
      </c>
      <c r="H22" s="916">
        <f t="shared" si="4"/>
        <v>0</v>
      </c>
      <c r="I22" s="915">
        <f t="shared" si="5"/>
        <v>0</v>
      </c>
      <c r="J22" s="916">
        <f t="shared" si="6"/>
        <v>0</v>
      </c>
      <c r="K22" s="915">
        <f t="shared" si="7"/>
        <v>0</v>
      </c>
      <c r="L22" s="916">
        <f t="shared" si="8"/>
        <v>0</v>
      </c>
      <c r="M22" s="915">
        <f t="shared" si="9"/>
        <v>0</v>
      </c>
      <c r="N22" s="916">
        <f t="shared" si="10"/>
        <v>0</v>
      </c>
      <c r="O22" s="915">
        <f t="shared" si="11"/>
        <v>0</v>
      </c>
      <c r="P22" s="917">
        <f t="shared" si="12"/>
        <v>0</v>
      </c>
      <c r="Q22" s="915">
        <f t="shared" si="13"/>
        <v>0</v>
      </c>
      <c r="R22" s="917">
        <f t="shared" si="14"/>
        <v>0</v>
      </c>
      <c r="S22" s="915">
        <f t="shared" si="15"/>
        <v>0</v>
      </c>
      <c r="T22" s="918">
        <f t="shared" si="16"/>
        <v>0</v>
      </c>
      <c r="U22" s="557">
        <f t="shared" si="18"/>
        <v>0</v>
      </c>
      <c r="V22" s="559">
        <f t="shared" si="19"/>
        <v>0</v>
      </c>
      <c r="W22" s="31">
        <f>'t1'!M20</f>
        <v>0</v>
      </c>
      <c r="AG22" s="281"/>
      <c r="AH22" s="282"/>
      <c r="AI22" s="281"/>
      <c r="AJ22" s="282"/>
      <c r="AK22" s="281"/>
      <c r="AL22" s="282"/>
      <c r="AM22" s="281"/>
      <c r="AN22" s="282"/>
      <c r="AO22" s="281"/>
      <c r="AP22" s="282"/>
      <c r="AQ22" s="281"/>
      <c r="AR22" s="282"/>
      <c r="AS22" s="281"/>
      <c r="AT22" s="658"/>
      <c r="AU22" s="281"/>
      <c r="AV22" s="658"/>
      <c r="AW22" s="281"/>
      <c r="AX22" s="653"/>
      <c r="AY22" s="557">
        <f t="shared" si="20"/>
        <v>0</v>
      </c>
      <c r="AZ22" s="559">
        <f t="shared" si="21"/>
        <v>0</v>
      </c>
      <c r="BA22" s="31">
        <f>'t1'!AQ20</f>
        <v>0</v>
      </c>
    </row>
    <row r="23" spans="1:53" ht="12.75" customHeight="1">
      <c r="A23" s="158" t="str">
        <f>'t1'!A21</f>
        <v>POSIZIONE ECONOMICA A1</v>
      </c>
      <c r="B23" s="230" t="str">
        <f>'t1'!B21</f>
        <v>023000</v>
      </c>
      <c r="C23" s="915">
        <f t="shared" si="17"/>
        <v>0</v>
      </c>
      <c r="D23" s="916">
        <f t="shared" si="0"/>
        <v>0</v>
      </c>
      <c r="E23" s="915">
        <f t="shared" si="1"/>
        <v>0</v>
      </c>
      <c r="F23" s="916">
        <f t="shared" si="2"/>
        <v>0</v>
      </c>
      <c r="G23" s="915">
        <f t="shared" si="3"/>
        <v>0</v>
      </c>
      <c r="H23" s="916">
        <f t="shared" si="4"/>
        <v>0</v>
      </c>
      <c r="I23" s="915">
        <f t="shared" si="5"/>
        <v>0</v>
      </c>
      <c r="J23" s="916">
        <f t="shared" si="6"/>
        <v>0</v>
      </c>
      <c r="K23" s="915">
        <f t="shared" si="7"/>
        <v>0</v>
      </c>
      <c r="L23" s="916">
        <f t="shared" si="8"/>
        <v>0</v>
      </c>
      <c r="M23" s="915">
        <f t="shared" si="9"/>
        <v>0</v>
      </c>
      <c r="N23" s="916">
        <f t="shared" si="10"/>
        <v>0</v>
      </c>
      <c r="O23" s="915">
        <f t="shared" si="11"/>
        <v>0</v>
      </c>
      <c r="P23" s="917">
        <f t="shared" si="12"/>
        <v>0</v>
      </c>
      <c r="Q23" s="915">
        <f t="shared" si="13"/>
        <v>0</v>
      </c>
      <c r="R23" s="917">
        <f t="shared" si="14"/>
        <v>0</v>
      </c>
      <c r="S23" s="915">
        <f t="shared" si="15"/>
        <v>0</v>
      </c>
      <c r="T23" s="918">
        <f t="shared" si="16"/>
        <v>0</v>
      </c>
      <c r="U23" s="557">
        <f t="shared" si="18"/>
        <v>0</v>
      </c>
      <c r="V23" s="559">
        <f t="shared" si="19"/>
        <v>0</v>
      </c>
      <c r="W23" s="31">
        <f>'t1'!M21</f>
        <v>0</v>
      </c>
      <c r="AG23" s="281"/>
      <c r="AH23" s="282"/>
      <c r="AI23" s="281"/>
      <c r="AJ23" s="282"/>
      <c r="AK23" s="281"/>
      <c r="AL23" s="282"/>
      <c r="AM23" s="281"/>
      <c r="AN23" s="282"/>
      <c r="AO23" s="281"/>
      <c r="AP23" s="282"/>
      <c r="AQ23" s="281"/>
      <c r="AR23" s="282"/>
      <c r="AS23" s="281"/>
      <c r="AT23" s="658"/>
      <c r="AU23" s="281"/>
      <c r="AV23" s="658"/>
      <c r="AW23" s="281"/>
      <c r="AX23" s="653"/>
      <c r="AY23" s="557">
        <f t="shared" si="20"/>
        <v>0</v>
      </c>
      <c r="AZ23" s="559">
        <f t="shared" si="21"/>
        <v>0</v>
      </c>
      <c r="BA23" s="31">
        <f>'t1'!AQ21</f>
        <v>0</v>
      </c>
    </row>
    <row r="24" spans="1:53" ht="12.75" customHeight="1" thickBot="1">
      <c r="A24" s="158" t="str">
        <f>'t1'!A22</f>
        <v>CONTRATTISTI (a)</v>
      </c>
      <c r="B24" s="230" t="str">
        <f>'t1'!B22</f>
        <v>000061</v>
      </c>
      <c r="C24" s="915">
        <f t="shared" si="17"/>
        <v>0</v>
      </c>
      <c r="D24" s="916">
        <f t="shared" si="0"/>
        <v>0</v>
      </c>
      <c r="E24" s="915">
        <f t="shared" si="1"/>
        <v>0</v>
      </c>
      <c r="F24" s="916">
        <f t="shared" si="2"/>
        <v>0</v>
      </c>
      <c r="G24" s="915">
        <f t="shared" si="3"/>
        <v>0</v>
      </c>
      <c r="H24" s="916">
        <f t="shared" si="4"/>
        <v>0</v>
      </c>
      <c r="I24" s="915">
        <f t="shared" si="5"/>
        <v>0</v>
      </c>
      <c r="J24" s="916">
        <f t="shared" si="6"/>
        <v>0</v>
      </c>
      <c r="K24" s="915">
        <f t="shared" si="7"/>
        <v>0</v>
      </c>
      <c r="L24" s="916">
        <f t="shared" si="8"/>
        <v>0</v>
      </c>
      <c r="M24" s="915">
        <f t="shared" si="9"/>
        <v>0</v>
      </c>
      <c r="N24" s="916">
        <f t="shared" si="10"/>
        <v>0</v>
      </c>
      <c r="O24" s="915">
        <f t="shared" si="11"/>
        <v>0</v>
      </c>
      <c r="P24" s="917">
        <f t="shared" si="12"/>
        <v>0</v>
      </c>
      <c r="Q24" s="915">
        <f t="shared" si="13"/>
        <v>0</v>
      </c>
      <c r="R24" s="917">
        <f t="shared" si="14"/>
        <v>0</v>
      </c>
      <c r="S24" s="915">
        <f t="shared" si="15"/>
        <v>0</v>
      </c>
      <c r="T24" s="918">
        <f t="shared" si="16"/>
        <v>0</v>
      </c>
      <c r="U24" s="557">
        <f t="shared" si="18"/>
        <v>0</v>
      </c>
      <c r="V24" s="559">
        <f t="shared" si="19"/>
        <v>0</v>
      </c>
      <c r="W24" s="31">
        <f>'t1'!M22</f>
        <v>0</v>
      </c>
      <c r="AG24" s="281"/>
      <c r="AH24" s="282"/>
      <c r="AI24" s="281"/>
      <c r="AJ24" s="282"/>
      <c r="AK24" s="281"/>
      <c r="AL24" s="282"/>
      <c r="AM24" s="281"/>
      <c r="AN24" s="282"/>
      <c r="AO24" s="281"/>
      <c r="AP24" s="282"/>
      <c r="AQ24" s="281"/>
      <c r="AR24" s="282"/>
      <c r="AS24" s="281"/>
      <c r="AT24" s="658"/>
      <c r="AU24" s="281"/>
      <c r="AV24" s="658"/>
      <c r="AW24" s="281"/>
      <c r="AX24" s="653"/>
      <c r="AY24" s="557">
        <f t="shared" si="20"/>
        <v>0</v>
      </c>
      <c r="AZ24" s="559">
        <f t="shared" si="21"/>
        <v>0</v>
      </c>
      <c r="BA24" s="31">
        <f>'t1'!AQ22</f>
        <v>0</v>
      </c>
    </row>
    <row r="25" spans="1:52" ht="12.75" customHeight="1" thickBot="1" thickTop="1">
      <c r="A25" s="34" t="s">
        <v>77</v>
      </c>
      <c r="B25" s="684"/>
      <c r="C25" s="479">
        <f aca="true" t="shared" si="22" ref="C25:V25">SUM(C8:C24)</f>
        <v>0</v>
      </c>
      <c r="D25" s="480">
        <f t="shared" si="22"/>
        <v>0</v>
      </c>
      <c r="E25" s="479">
        <f t="shared" si="22"/>
        <v>0</v>
      </c>
      <c r="F25" s="480">
        <f t="shared" si="22"/>
        <v>0</v>
      </c>
      <c r="G25" s="479">
        <f t="shared" si="22"/>
        <v>0</v>
      </c>
      <c r="H25" s="480">
        <f t="shared" si="22"/>
        <v>0</v>
      </c>
      <c r="I25" s="479">
        <f t="shared" si="22"/>
        <v>0</v>
      </c>
      <c r="J25" s="480">
        <f t="shared" si="22"/>
        <v>0</v>
      </c>
      <c r="K25" s="479">
        <f t="shared" si="22"/>
        <v>0</v>
      </c>
      <c r="L25" s="480">
        <f t="shared" si="22"/>
        <v>0</v>
      </c>
      <c r="M25" s="479">
        <f t="shared" si="22"/>
        <v>0</v>
      </c>
      <c r="N25" s="480">
        <f t="shared" si="22"/>
        <v>0</v>
      </c>
      <c r="O25" s="479">
        <f t="shared" si="22"/>
        <v>0</v>
      </c>
      <c r="P25" s="659">
        <f t="shared" si="22"/>
        <v>0</v>
      </c>
      <c r="Q25" s="479">
        <f t="shared" si="22"/>
        <v>0</v>
      </c>
      <c r="R25" s="659">
        <f t="shared" si="22"/>
        <v>0</v>
      </c>
      <c r="S25" s="479">
        <f t="shared" si="22"/>
        <v>0</v>
      </c>
      <c r="T25" s="654">
        <f t="shared" si="22"/>
        <v>0</v>
      </c>
      <c r="U25" s="479">
        <f t="shared" si="22"/>
        <v>0</v>
      </c>
      <c r="V25" s="481">
        <f t="shared" si="22"/>
        <v>0</v>
      </c>
      <c r="AG25" s="479">
        <f aca="true" t="shared" si="23" ref="AG25:AZ25">SUM(AG8:AG24)</f>
        <v>0</v>
      </c>
      <c r="AH25" s="480">
        <f t="shared" si="23"/>
        <v>0</v>
      </c>
      <c r="AI25" s="479">
        <f t="shared" si="23"/>
        <v>0</v>
      </c>
      <c r="AJ25" s="480">
        <f t="shared" si="23"/>
        <v>0</v>
      </c>
      <c r="AK25" s="479">
        <f t="shared" si="23"/>
        <v>0</v>
      </c>
      <c r="AL25" s="480">
        <f t="shared" si="23"/>
        <v>0</v>
      </c>
      <c r="AM25" s="479">
        <f t="shared" si="23"/>
        <v>0</v>
      </c>
      <c r="AN25" s="480">
        <f t="shared" si="23"/>
        <v>0</v>
      </c>
      <c r="AO25" s="479">
        <f t="shared" si="23"/>
        <v>0</v>
      </c>
      <c r="AP25" s="480">
        <f t="shared" si="23"/>
        <v>0</v>
      </c>
      <c r="AQ25" s="479">
        <f t="shared" si="23"/>
        <v>0</v>
      </c>
      <c r="AR25" s="480">
        <f t="shared" si="23"/>
        <v>0</v>
      </c>
      <c r="AS25" s="479">
        <f t="shared" si="23"/>
        <v>0</v>
      </c>
      <c r="AT25" s="659">
        <f t="shared" si="23"/>
        <v>0</v>
      </c>
      <c r="AU25" s="479">
        <f t="shared" si="23"/>
        <v>0</v>
      </c>
      <c r="AV25" s="659">
        <f t="shared" si="23"/>
        <v>0</v>
      </c>
      <c r="AW25" s="479">
        <f t="shared" si="23"/>
        <v>0</v>
      </c>
      <c r="AX25" s="654">
        <f t="shared" si="23"/>
        <v>0</v>
      </c>
      <c r="AY25" s="479">
        <f t="shared" si="23"/>
        <v>0</v>
      </c>
      <c r="AZ25" s="481">
        <f t="shared" si="23"/>
        <v>0</v>
      </c>
    </row>
    <row r="26" spans="1:39" ht="17.25" customHeight="1">
      <c r="A26" s="26" t="str">
        <f>'t1'!$A$24</f>
        <v>(a) personale a tempo indeterminato al quale viene applicato un contratto di lavoro di tipo privatistico (es.:tipografico,chimico,edile,metalmeccanico,portierato, ecc.)</v>
      </c>
      <c r="B26" s="7"/>
      <c r="C26" s="5"/>
      <c r="D26" s="5"/>
      <c r="E26" s="5"/>
      <c r="F26" s="5"/>
      <c r="G26" s="5"/>
      <c r="I26" s="5"/>
      <c r="AG26" s="5"/>
      <c r="AH26" s="5"/>
      <c r="AI26" s="5"/>
      <c r="AJ26" s="5"/>
      <c r="AK26" s="5"/>
      <c r="AM26" s="5"/>
    </row>
    <row r="27" ht="9.75">
      <c r="A27" s="26"/>
    </row>
  </sheetData>
  <sheetProtection password="EA98" sheet="1" formatColumns="0" selectLockedCells="1"/>
  <mergeCells count="39">
    <mergeCell ref="I2:J2"/>
    <mergeCell ref="C5:D5"/>
    <mergeCell ref="E5:F5"/>
    <mergeCell ref="E4:F4"/>
    <mergeCell ref="G2:H2"/>
    <mergeCell ref="O4:P4"/>
    <mergeCell ref="Q4:R4"/>
    <mergeCell ref="S4:T4"/>
    <mergeCell ref="M5:N5"/>
    <mergeCell ref="K5:L5"/>
    <mergeCell ref="I4:J4"/>
    <mergeCell ref="I5:J5"/>
    <mergeCell ref="K4:L4"/>
    <mergeCell ref="AI4:AJ4"/>
    <mergeCell ref="AK4:AL4"/>
    <mergeCell ref="AM4:AN4"/>
    <mergeCell ref="AO4:AP4"/>
    <mergeCell ref="G4:H4"/>
    <mergeCell ref="G5:H5"/>
    <mergeCell ref="M4:N4"/>
    <mergeCell ref="O5:P5"/>
    <mergeCell ref="Q5:R5"/>
    <mergeCell ref="S5:T5"/>
    <mergeCell ref="AK5:AL5"/>
    <mergeCell ref="AM5:AN5"/>
    <mergeCell ref="AO5:AP5"/>
    <mergeCell ref="AQ5:AR5"/>
    <mergeCell ref="AK2:AL2"/>
    <mergeCell ref="AM2:AN2"/>
    <mergeCell ref="AS5:AT5"/>
    <mergeCell ref="AU5:AV5"/>
    <mergeCell ref="AW5:AX5"/>
    <mergeCell ref="A1:AZ1"/>
    <mergeCell ref="AQ4:AR4"/>
    <mergeCell ref="AS4:AT4"/>
    <mergeCell ref="AU4:AV4"/>
    <mergeCell ref="AW4:AX4"/>
    <mergeCell ref="AG5:AH5"/>
    <mergeCell ref="AI5:AJ5"/>
  </mergeCells>
  <conditionalFormatting sqref="A8:V24">
    <cfRule type="expression" priority="2" dxfId="3" stopIfTrue="1">
      <formula>$W8&gt;0</formula>
    </cfRule>
  </conditionalFormatting>
  <conditionalFormatting sqref="AG8:AZ24">
    <cfRule type="expression" priority="1" dxfId="3" stopIfTrue="1">
      <formula>$W8&gt;0</formula>
    </cfRule>
  </conditionalFormatting>
  <printOptions horizontalCentered="1" verticalCentered="1"/>
  <pageMargins left="0" right="0" top="0.1968503937007874" bottom="0.15748031496062992" header="0.15748031496062992" footer="0.1968503937007874"/>
  <pageSetup horizontalDpi="600" verticalDpi="600" orientation="landscape" paperSize="9" scale="70" r:id="rId2"/>
  <drawing r:id="rId1"/>
</worksheet>
</file>

<file path=xl/worksheets/sheet15.xml><?xml version="1.0" encoding="utf-8"?>
<worksheet xmlns="http://schemas.openxmlformats.org/spreadsheetml/2006/main" xmlns:r="http://schemas.openxmlformats.org/officeDocument/2006/relationships">
  <sheetPr codeName="Foglio19"/>
  <dimension ref="A1:AJ27"/>
  <sheetViews>
    <sheetView showGridLines="0" zoomScalePageLayoutView="0" workbookViewId="0" topLeftCell="A1">
      <pane xSplit="2" ySplit="5" topLeftCell="W6" activePane="bottomRight" state="frozen"/>
      <selection pane="topLeft" activeCell="A2" sqref="A2"/>
      <selection pane="topRight" activeCell="A2" sqref="A2"/>
      <selection pane="bottomLeft" activeCell="A2" sqref="A2"/>
      <selection pane="bottomRight" activeCell="AA6" sqref="AA6"/>
    </sheetView>
  </sheetViews>
  <sheetFormatPr defaultColWidth="9.33203125" defaultRowHeight="10.5"/>
  <cols>
    <col min="1" max="1" width="37.83203125" style="5" customWidth="1"/>
    <col min="2" max="2" width="11" style="7" customWidth="1"/>
    <col min="3" max="3" width="14.83203125" style="5" hidden="1" customWidth="1"/>
    <col min="4" max="10" width="16.83203125" style="5" hidden="1" customWidth="1"/>
    <col min="11" max="11" width="9.33203125" style="5" hidden="1" customWidth="1"/>
    <col min="12" max="12" width="10.33203125" style="1143" hidden="1" customWidth="1"/>
    <col min="13" max="26" width="9.33203125" style="5" hidden="1" customWidth="1"/>
    <col min="27" max="27" width="14.83203125" style="5" customWidth="1"/>
    <col min="28" max="34" width="16.83203125" style="5" customWidth="1"/>
    <col min="35" max="35" width="0" style="5" hidden="1" customWidth="1"/>
    <col min="36" max="16384" width="9.33203125" style="5" customWidth="1"/>
  </cols>
  <sheetData>
    <row r="1" spans="1:36" ht="33" customHeight="1">
      <c r="A1" s="1349" t="str">
        <f>'t1'!A1</f>
        <v>CNEL - anno 2018</v>
      </c>
      <c r="B1" s="1349"/>
      <c r="C1" s="1349"/>
      <c r="D1" s="1349"/>
      <c r="E1" s="1349"/>
      <c r="F1" s="1349"/>
      <c r="G1" s="1349"/>
      <c r="H1" s="1349"/>
      <c r="I1" s="1349"/>
      <c r="J1" s="1349"/>
      <c r="K1" s="1349"/>
      <c r="L1" s="1349"/>
      <c r="M1" s="1349"/>
      <c r="N1" s="1349"/>
      <c r="O1" s="1349"/>
      <c r="P1" s="1349"/>
      <c r="Q1" s="1349"/>
      <c r="R1" s="1349"/>
      <c r="S1" s="1349"/>
      <c r="T1" s="1349"/>
      <c r="U1" s="1349"/>
      <c r="V1" s="1349"/>
      <c r="W1" s="1349"/>
      <c r="X1" s="1349"/>
      <c r="Y1" s="1349"/>
      <c r="Z1" s="1349"/>
      <c r="AA1" s="1349"/>
      <c r="AB1" s="1349"/>
      <c r="AC1" s="1349"/>
      <c r="AD1" s="1349"/>
      <c r="AE1" s="1349"/>
      <c r="AF1" s="1349"/>
      <c r="AG1" s="1349"/>
      <c r="AH1" s="1349"/>
      <c r="AJ1"/>
    </row>
    <row r="2" spans="1:34" ht="27" customHeight="1" thickBot="1">
      <c r="A2" s="6"/>
      <c r="H2" s="1350"/>
      <c r="I2" s="1350"/>
      <c r="J2" s="1350"/>
      <c r="AF2" s="1350"/>
      <c r="AG2" s="1350"/>
      <c r="AH2" s="1350"/>
    </row>
    <row r="3" spans="1:34" ht="10.5" thickBot="1">
      <c r="A3" s="12"/>
      <c r="B3" s="13"/>
      <c r="C3" s="131" t="s">
        <v>260</v>
      </c>
      <c r="D3" s="14"/>
      <c r="E3" s="14"/>
      <c r="F3" s="14"/>
      <c r="G3" s="14"/>
      <c r="H3" s="14"/>
      <c r="I3" s="127"/>
      <c r="J3" s="127"/>
      <c r="AA3" s="131" t="s">
        <v>260</v>
      </c>
      <c r="AB3" s="14"/>
      <c r="AC3" s="14"/>
      <c r="AD3" s="14"/>
      <c r="AE3" s="14"/>
      <c r="AF3" s="14"/>
      <c r="AG3" s="127"/>
      <c r="AH3" s="127"/>
    </row>
    <row r="4" spans="1:34" ht="41.25" thickTop="1">
      <c r="A4" s="27" t="s">
        <v>147</v>
      </c>
      <c r="B4" s="128" t="s">
        <v>74</v>
      </c>
      <c r="C4" s="129" t="s">
        <v>186</v>
      </c>
      <c r="D4" s="129" t="s">
        <v>148</v>
      </c>
      <c r="E4" s="1146" t="s">
        <v>773</v>
      </c>
      <c r="F4" s="1147" t="s">
        <v>774</v>
      </c>
      <c r="G4" s="129" t="s">
        <v>112</v>
      </c>
      <c r="H4" s="129" t="s">
        <v>185</v>
      </c>
      <c r="I4" s="129" t="s">
        <v>113</v>
      </c>
      <c r="J4" s="686" t="s">
        <v>77</v>
      </c>
      <c r="AA4" s="129" t="s">
        <v>186</v>
      </c>
      <c r="AB4" s="129" t="s">
        <v>148</v>
      </c>
      <c r="AC4" s="1146" t="s">
        <v>773</v>
      </c>
      <c r="AD4" s="1147" t="s">
        <v>774</v>
      </c>
      <c r="AE4" s="129" t="s">
        <v>112</v>
      </c>
      <c r="AF4" s="129" t="s">
        <v>185</v>
      </c>
      <c r="AG4" s="129" t="s">
        <v>113</v>
      </c>
      <c r="AH4" s="686" t="s">
        <v>77</v>
      </c>
    </row>
    <row r="5" spans="1:34" s="276" customFormat="1" ht="8.25" thickBot="1">
      <c r="A5" s="898" t="s">
        <v>645</v>
      </c>
      <c r="B5" s="296"/>
      <c r="C5" s="297" t="s">
        <v>430</v>
      </c>
      <c r="D5" s="297" t="s">
        <v>426</v>
      </c>
      <c r="E5" s="297" t="s">
        <v>775</v>
      </c>
      <c r="F5" s="297" t="s">
        <v>776</v>
      </c>
      <c r="G5" s="297" t="s">
        <v>427</v>
      </c>
      <c r="H5" s="297" t="s">
        <v>428</v>
      </c>
      <c r="I5" s="297" t="s">
        <v>429</v>
      </c>
      <c r="J5" s="298"/>
      <c r="L5" s="1145"/>
      <c r="AA5" s="297" t="s">
        <v>430</v>
      </c>
      <c r="AB5" s="297" t="s">
        <v>426</v>
      </c>
      <c r="AC5" s="297" t="s">
        <v>775</v>
      </c>
      <c r="AD5" s="297" t="s">
        <v>776</v>
      </c>
      <c r="AE5" s="297" t="s">
        <v>427</v>
      </c>
      <c r="AF5" s="297" t="s">
        <v>428</v>
      </c>
      <c r="AG5" s="297" t="s">
        <v>429</v>
      </c>
      <c r="AH5" s="298"/>
    </row>
    <row r="6" spans="1:35" ht="12.75" customHeight="1" thickTop="1">
      <c r="A6" s="25" t="str">
        <f>'t1'!A6</f>
        <v>DIRIGENTE I FASCIA</v>
      </c>
      <c r="B6" s="237" t="str">
        <f>'t1'!B6</f>
        <v>0D0077</v>
      </c>
      <c r="C6" s="216">
        <f>ROUND(AA6,2)</f>
        <v>0</v>
      </c>
      <c r="D6" s="919">
        <f>ROUND(AB6,0)</f>
        <v>0</v>
      </c>
      <c r="E6" s="919">
        <f aca="true" t="shared" si="0" ref="E6:F22">ROUND(AC6,0)</f>
        <v>0</v>
      </c>
      <c r="F6" s="919">
        <f t="shared" si="0"/>
        <v>0</v>
      </c>
      <c r="G6" s="919">
        <f aca="true" t="shared" si="1" ref="G6:G22">ROUND(AE6,0)</f>
        <v>0</v>
      </c>
      <c r="H6" s="919">
        <f aca="true" t="shared" si="2" ref="H6:H22">ROUND(AF6,0)</f>
        <v>0</v>
      </c>
      <c r="I6" s="920">
        <f aca="true" t="shared" si="3" ref="I6:I22">ROUND(AG6,0)</f>
        <v>0</v>
      </c>
      <c r="J6" s="485">
        <f>(D6+E6+F6+G6+H6)-I6</f>
        <v>0</v>
      </c>
      <c r="K6" s="5">
        <f>'t1'!M6</f>
        <v>0</v>
      </c>
      <c r="L6" s="1144" t="s">
        <v>506</v>
      </c>
      <c r="AA6" s="216"/>
      <c r="AB6" s="214"/>
      <c r="AC6" s="214"/>
      <c r="AD6" s="214"/>
      <c r="AE6" s="214"/>
      <c r="AF6" s="214"/>
      <c r="AG6" s="215"/>
      <c r="AH6" s="485">
        <f>(AB6+AC6+AD6+AE6+AF6)-AG6</f>
        <v>0</v>
      </c>
      <c r="AI6" s="5">
        <f>'t1'!AK6</f>
        <v>0</v>
      </c>
    </row>
    <row r="7" spans="1:35" ht="12" customHeight="1">
      <c r="A7" s="158" t="str">
        <f>'t1'!A7</f>
        <v>DIRIGENTE I FASCIA A TEMPO DETERM.</v>
      </c>
      <c r="B7" s="230" t="str">
        <f>'t1'!B7</f>
        <v>0D0078</v>
      </c>
      <c r="C7" s="216">
        <f aca="true" t="shared" si="4" ref="C7:C22">ROUND(AA7,2)</f>
        <v>0</v>
      </c>
      <c r="D7" s="919">
        <f aca="true" t="shared" si="5" ref="D7:D22">ROUND(AB7,0)</f>
        <v>0</v>
      </c>
      <c r="E7" s="919">
        <f t="shared" si="0"/>
        <v>0</v>
      </c>
      <c r="F7" s="919">
        <f t="shared" si="0"/>
        <v>0</v>
      </c>
      <c r="G7" s="919">
        <f t="shared" si="1"/>
        <v>0</v>
      </c>
      <c r="H7" s="919">
        <f t="shared" si="2"/>
        <v>0</v>
      </c>
      <c r="I7" s="920">
        <f t="shared" si="3"/>
        <v>0</v>
      </c>
      <c r="J7" s="485">
        <f aca="true" t="shared" si="6" ref="J7:J22">(D7+E7+F7+G7+H7)-I7</f>
        <v>0</v>
      </c>
      <c r="K7" s="5">
        <f>'t1'!M7</f>
        <v>0</v>
      </c>
      <c r="L7" s="1144" t="s">
        <v>506</v>
      </c>
      <c r="AA7" s="216"/>
      <c r="AB7" s="214"/>
      <c r="AC7" s="214"/>
      <c r="AD7" s="214"/>
      <c r="AE7" s="214"/>
      <c r="AF7" s="214"/>
      <c r="AG7" s="215"/>
      <c r="AH7" s="485">
        <f aca="true" t="shared" si="7" ref="AH7:AH22">(AB7+AC7+AD7+AE7+AF7)-AG7</f>
        <v>0</v>
      </c>
      <c r="AI7" s="5">
        <f>'t1'!AK7</f>
        <v>0</v>
      </c>
    </row>
    <row r="8" spans="1:35" ht="12" customHeight="1">
      <c r="A8" s="158" t="str">
        <f>'t1'!A8</f>
        <v>DIRIGENTE II FASCIA</v>
      </c>
      <c r="B8" s="230" t="str">
        <f>'t1'!B8</f>
        <v>0D0079</v>
      </c>
      <c r="C8" s="216">
        <f t="shared" si="4"/>
        <v>0</v>
      </c>
      <c r="D8" s="919">
        <f t="shared" si="5"/>
        <v>0</v>
      </c>
      <c r="E8" s="919">
        <f t="shared" si="0"/>
        <v>0</v>
      </c>
      <c r="F8" s="919">
        <f t="shared" si="0"/>
        <v>0</v>
      </c>
      <c r="G8" s="919">
        <f t="shared" si="1"/>
        <v>0</v>
      </c>
      <c r="H8" s="919">
        <f t="shared" si="2"/>
        <v>0</v>
      </c>
      <c r="I8" s="920">
        <f t="shared" si="3"/>
        <v>0</v>
      </c>
      <c r="J8" s="485">
        <f t="shared" si="6"/>
        <v>0</v>
      </c>
      <c r="K8" s="5">
        <f>'t1'!M8</f>
        <v>0</v>
      </c>
      <c r="L8" s="1144" t="s">
        <v>507</v>
      </c>
      <c r="AA8" s="216"/>
      <c r="AB8" s="214"/>
      <c r="AC8" s="214"/>
      <c r="AD8" s="214"/>
      <c r="AE8" s="214"/>
      <c r="AF8" s="214"/>
      <c r="AG8" s="215"/>
      <c r="AH8" s="485">
        <f t="shared" si="7"/>
        <v>0</v>
      </c>
      <c r="AI8" s="5">
        <f>'t1'!AK8</f>
        <v>0</v>
      </c>
    </row>
    <row r="9" spans="1:35" ht="12" customHeight="1">
      <c r="A9" s="158" t="str">
        <f>'t1'!A9</f>
        <v>DIRIGENTE II FASCIA A TEMPO DETERM.</v>
      </c>
      <c r="B9" s="230" t="str">
        <f>'t1'!B9</f>
        <v>0D0080</v>
      </c>
      <c r="C9" s="216">
        <f t="shared" si="4"/>
        <v>0</v>
      </c>
      <c r="D9" s="919">
        <f t="shared" si="5"/>
        <v>0</v>
      </c>
      <c r="E9" s="919">
        <f t="shared" si="0"/>
        <v>0</v>
      </c>
      <c r="F9" s="919">
        <f t="shared" si="0"/>
        <v>0</v>
      </c>
      <c r="G9" s="919">
        <f t="shared" si="1"/>
        <v>0</v>
      </c>
      <c r="H9" s="919">
        <f t="shared" si="2"/>
        <v>0</v>
      </c>
      <c r="I9" s="920">
        <f t="shared" si="3"/>
        <v>0</v>
      </c>
      <c r="J9" s="485">
        <f t="shared" si="6"/>
        <v>0</v>
      </c>
      <c r="K9" s="5">
        <f>'t1'!M9</f>
        <v>0</v>
      </c>
      <c r="L9" s="1144" t="s">
        <v>507</v>
      </c>
      <c r="AA9" s="216"/>
      <c r="AB9" s="214"/>
      <c r="AC9" s="214"/>
      <c r="AD9" s="214"/>
      <c r="AE9" s="214"/>
      <c r="AF9" s="214"/>
      <c r="AG9" s="215"/>
      <c r="AH9" s="485">
        <f t="shared" si="7"/>
        <v>0</v>
      </c>
      <c r="AI9" s="5">
        <f>'t1'!AK9</f>
        <v>0</v>
      </c>
    </row>
    <row r="10" spans="1:35" ht="12" customHeight="1">
      <c r="A10" s="158" t="str">
        <f>'t1'!A10</f>
        <v>POSIZIONE ECONOMICA C5</v>
      </c>
      <c r="B10" s="230" t="str">
        <f>'t1'!B10</f>
        <v>046000</v>
      </c>
      <c r="C10" s="216">
        <f t="shared" si="4"/>
        <v>0</v>
      </c>
      <c r="D10" s="919">
        <f t="shared" si="5"/>
        <v>0</v>
      </c>
      <c r="E10" s="919">
        <f t="shared" si="0"/>
        <v>0</v>
      </c>
      <c r="F10" s="919">
        <f t="shared" si="0"/>
        <v>0</v>
      </c>
      <c r="G10" s="919">
        <f t="shared" si="1"/>
        <v>0</v>
      </c>
      <c r="H10" s="919">
        <f t="shared" si="2"/>
        <v>0</v>
      </c>
      <c r="I10" s="920">
        <f t="shared" si="3"/>
        <v>0</v>
      </c>
      <c r="J10" s="485">
        <f t="shared" si="6"/>
        <v>0</v>
      </c>
      <c r="K10" s="5">
        <f>'t1'!M10</f>
        <v>0</v>
      </c>
      <c r="L10" s="1144" t="s">
        <v>290</v>
      </c>
      <c r="AA10" s="216"/>
      <c r="AB10" s="214"/>
      <c r="AC10" s="214"/>
      <c r="AD10" s="214"/>
      <c r="AE10" s="214"/>
      <c r="AF10" s="214"/>
      <c r="AG10" s="215"/>
      <c r="AH10" s="485">
        <f t="shared" si="7"/>
        <v>0</v>
      </c>
      <c r="AI10" s="5">
        <f>'t1'!AK10</f>
        <v>0</v>
      </c>
    </row>
    <row r="11" spans="1:35" ht="12" customHeight="1">
      <c r="A11" s="158" t="str">
        <f>'t1'!A11</f>
        <v>POSIZIONE ECONOMICA C4</v>
      </c>
      <c r="B11" s="230" t="str">
        <f>'t1'!B11</f>
        <v>045000</v>
      </c>
      <c r="C11" s="216">
        <f t="shared" si="4"/>
        <v>0</v>
      </c>
      <c r="D11" s="919">
        <f t="shared" si="5"/>
        <v>0</v>
      </c>
      <c r="E11" s="919">
        <f t="shared" si="0"/>
        <v>0</v>
      </c>
      <c r="F11" s="919">
        <f t="shared" si="0"/>
        <v>0</v>
      </c>
      <c r="G11" s="919">
        <f t="shared" si="1"/>
        <v>0</v>
      </c>
      <c r="H11" s="919">
        <f t="shared" si="2"/>
        <v>0</v>
      </c>
      <c r="I11" s="920">
        <f t="shared" si="3"/>
        <v>0</v>
      </c>
      <c r="J11" s="485">
        <f t="shared" si="6"/>
        <v>0</v>
      </c>
      <c r="K11" s="5">
        <f>'t1'!M11</f>
        <v>0</v>
      </c>
      <c r="L11" s="1144" t="s">
        <v>290</v>
      </c>
      <c r="AA11" s="216"/>
      <c r="AB11" s="214"/>
      <c r="AC11" s="214"/>
      <c r="AD11" s="214"/>
      <c r="AE11" s="214"/>
      <c r="AF11" s="214"/>
      <c r="AG11" s="215"/>
      <c r="AH11" s="485">
        <f t="shared" si="7"/>
        <v>0</v>
      </c>
      <c r="AI11" s="5">
        <f>'t1'!AK11</f>
        <v>0</v>
      </c>
    </row>
    <row r="12" spans="1:35" ht="12" customHeight="1">
      <c r="A12" s="158" t="str">
        <f>'t1'!A12</f>
        <v>POSIZIONE ECONOMICA C3</v>
      </c>
      <c r="B12" s="230" t="str">
        <f>'t1'!B12</f>
        <v>043000</v>
      </c>
      <c r="C12" s="216">
        <f t="shared" si="4"/>
        <v>0</v>
      </c>
      <c r="D12" s="919">
        <f t="shared" si="5"/>
        <v>0</v>
      </c>
      <c r="E12" s="919">
        <f t="shared" si="0"/>
        <v>0</v>
      </c>
      <c r="F12" s="919">
        <f t="shared" si="0"/>
        <v>0</v>
      </c>
      <c r="G12" s="919">
        <f t="shared" si="1"/>
        <v>0</v>
      </c>
      <c r="H12" s="919">
        <f t="shared" si="2"/>
        <v>0</v>
      </c>
      <c r="I12" s="920">
        <f t="shared" si="3"/>
        <v>0</v>
      </c>
      <c r="J12" s="485">
        <f t="shared" si="6"/>
        <v>0</v>
      </c>
      <c r="K12" s="5">
        <f>'t1'!M12</f>
        <v>0</v>
      </c>
      <c r="L12" s="1144" t="s">
        <v>290</v>
      </c>
      <c r="AA12" s="216"/>
      <c r="AB12" s="214"/>
      <c r="AC12" s="214"/>
      <c r="AD12" s="214"/>
      <c r="AE12" s="214"/>
      <c r="AF12" s="214"/>
      <c r="AG12" s="215"/>
      <c r="AH12" s="485">
        <f t="shared" si="7"/>
        <v>0</v>
      </c>
      <c r="AI12" s="5">
        <f>'t1'!AK12</f>
        <v>0</v>
      </c>
    </row>
    <row r="13" spans="1:35" ht="12" customHeight="1">
      <c r="A13" s="158" t="str">
        <f>'t1'!A13</f>
        <v>POSIZIONE ECONOMICA C2</v>
      </c>
      <c r="B13" s="230" t="str">
        <f>'t1'!B13</f>
        <v>042000</v>
      </c>
      <c r="C13" s="216">
        <f t="shared" si="4"/>
        <v>0</v>
      </c>
      <c r="D13" s="919">
        <f t="shared" si="5"/>
        <v>0</v>
      </c>
      <c r="E13" s="919">
        <f t="shared" si="0"/>
        <v>0</v>
      </c>
      <c r="F13" s="919">
        <f t="shared" si="0"/>
        <v>0</v>
      </c>
      <c r="G13" s="919">
        <f t="shared" si="1"/>
        <v>0</v>
      </c>
      <c r="H13" s="919">
        <f t="shared" si="2"/>
        <v>0</v>
      </c>
      <c r="I13" s="920">
        <f t="shared" si="3"/>
        <v>0</v>
      </c>
      <c r="J13" s="485">
        <f t="shared" si="6"/>
        <v>0</v>
      </c>
      <c r="K13" s="5">
        <f>'t1'!M13</f>
        <v>0</v>
      </c>
      <c r="L13" s="1144" t="s">
        <v>290</v>
      </c>
      <c r="AA13" s="216"/>
      <c r="AB13" s="214"/>
      <c r="AC13" s="214"/>
      <c r="AD13" s="214"/>
      <c r="AE13" s="214"/>
      <c r="AF13" s="214"/>
      <c r="AG13" s="215"/>
      <c r="AH13" s="485">
        <f t="shared" si="7"/>
        <v>0</v>
      </c>
      <c r="AI13" s="5">
        <f>'t1'!AK13</f>
        <v>0</v>
      </c>
    </row>
    <row r="14" spans="1:35" ht="12" customHeight="1">
      <c r="A14" s="158" t="str">
        <f>'t1'!A14</f>
        <v>POSIZIONE ECONOMICA C1</v>
      </c>
      <c r="B14" s="230" t="str">
        <f>'t1'!B14</f>
        <v>040000</v>
      </c>
      <c r="C14" s="216">
        <f t="shared" si="4"/>
        <v>0</v>
      </c>
      <c r="D14" s="919">
        <f t="shared" si="5"/>
        <v>0</v>
      </c>
      <c r="E14" s="919">
        <f t="shared" si="0"/>
        <v>0</v>
      </c>
      <c r="F14" s="919">
        <f t="shared" si="0"/>
        <v>0</v>
      </c>
      <c r="G14" s="919">
        <f t="shared" si="1"/>
        <v>0</v>
      </c>
      <c r="H14" s="919">
        <f t="shared" si="2"/>
        <v>0</v>
      </c>
      <c r="I14" s="920">
        <f t="shared" si="3"/>
        <v>0</v>
      </c>
      <c r="J14" s="485">
        <f t="shared" si="6"/>
        <v>0</v>
      </c>
      <c r="K14" s="5">
        <f>'t1'!M14</f>
        <v>0</v>
      </c>
      <c r="L14" s="1144" t="s">
        <v>290</v>
      </c>
      <c r="AA14" s="216"/>
      <c r="AB14" s="214"/>
      <c r="AC14" s="214"/>
      <c r="AD14" s="214"/>
      <c r="AE14" s="214"/>
      <c r="AF14" s="214"/>
      <c r="AG14" s="215"/>
      <c r="AH14" s="485">
        <f t="shared" si="7"/>
        <v>0</v>
      </c>
      <c r="AI14" s="5">
        <f>'t1'!AK14</f>
        <v>0</v>
      </c>
    </row>
    <row r="15" spans="1:35" ht="12" customHeight="1">
      <c r="A15" s="158" t="str">
        <f>'t1'!A15</f>
        <v>POSIZIONE ECONOMICA B4</v>
      </c>
      <c r="B15" s="230" t="str">
        <f>'t1'!B15</f>
        <v>036000</v>
      </c>
      <c r="C15" s="216">
        <f t="shared" si="4"/>
        <v>0</v>
      </c>
      <c r="D15" s="919">
        <f t="shared" si="5"/>
        <v>0</v>
      </c>
      <c r="E15" s="919">
        <f t="shared" si="0"/>
        <v>0</v>
      </c>
      <c r="F15" s="919">
        <f t="shared" si="0"/>
        <v>0</v>
      </c>
      <c r="G15" s="919">
        <f t="shared" si="1"/>
        <v>0</v>
      </c>
      <c r="H15" s="919">
        <f t="shared" si="2"/>
        <v>0</v>
      </c>
      <c r="I15" s="920">
        <f t="shared" si="3"/>
        <v>0</v>
      </c>
      <c r="J15" s="485">
        <f t="shared" si="6"/>
        <v>0</v>
      </c>
      <c r="K15" s="5">
        <f>'t1'!M15</f>
        <v>0</v>
      </c>
      <c r="L15" s="1144" t="s">
        <v>290</v>
      </c>
      <c r="AA15" s="216"/>
      <c r="AB15" s="214"/>
      <c r="AC15" s="214"/>
      <c r="AD15" s="214"/>
      <c r="AE15" s="214"/>
      <c r="AF15" s="214"/>
      <c r="AG15" s="215"/>
      <c r="AH15" s="485">
        <f t="shared" si="7"/>
        <v>0</v>
      </c>
      <c r="AI15" s="5">
        <f>'t1'!AK15</f>
        <v>0</v>
      </c>
    </row>
    <row r="16" spans="1:35" ht="12" customHeight="1">
      <c r="A16" s="158" t="str">
        <f>'t1'!A16</f>
        <v>POSIZIONE ECONOMICA B3</v>
      </c>
      <c r="B16" s="230" t="str">
        <f>'t1'!B16</f>
        <v>034000</v>
      </c>
      <c r="C16" s="216">
        <f t="shared" si="4"/>
        <v>0</v>
      </c>
      <c r="D16" s="919">
        <f t="shared" si="5"/>
        <v>0</v>
      </c>
      <c r="E16" s="919">
        <f t="shared" si="0"/>
        <v>0</v>
      </c>
      <c r="F16" s="919">
        <f t="shared" si="0"/>
        <v>0</v>
      </c>
      <c r="G16" s="919">
        <f t="shared" si="1"/>
        <v>0</v>
      </c>
      <c r="H16" s="919">
        <f t="shared" si="2"/>
        <v>0</v>
      </c>
      <c r="I16" s="920">
        <f t="shared" si="3"/>
        <v>0</v>
      </c>
      <c r="J16" s="485">
        <f t="shared" si="6"/>
        <v>0</v>
      </c>
      <c r="K16" s="5">
        <f>'t1'!M16</f>
        <v>0</v>
      </c>
      <c r="L16" s="1144" t="s">
        <v>290</v>
      </c>
      <c r="AA16" s="216"/>
      <c r="AB16" s="214"/>
      <c r="AC16" s="214"/>
      <c r="AD16" s="214"/>
      <c r="AE16" s="214"/>
      <c r="AF16" s="214"/>
      <c r="AG16" s="215"/>
      <c r="AH16" s="485">
        <f t="shared" si="7"/>
        <v>0</v>
      </c>
      <c r="AI16" s="5">
        <f>'t1'!AK16</f>
        <v>0</v>
      </c>
    </row>
    <row r="17" spans="1:35" ht="12" customHeight="1">
      <c r="A17" s="158" t="str">
        <f>'t1'!A17</f>
        <v>POSIZIONE ECONOMICA B2</v>
      </c>
      <c r="B17" s="230" t="str">
        <f>'t1'!B17</f>
        <v>032000</v>
      </c>
      <c r="C17" s="216">
        <f t="shared" si="4"/>
        <v>0</v>
      </c>
      <c r="D17" s="919">
        <f t="shared" si="5"/>
        <v>0</v>
      </c>
      <c r="E17" s="919">
        <f t="shared" si="0"/>
        <v>0</v>
      </c>
      <c r="F17" s="919">
        <f t="shared" si="0"/>
        <v>0</v>
      </c>
      <c r="G17" s="919">
        <f t="shared" si="1"/>
        <v>0</v>
      </c>
      <c r="H17" s="919">
        <f t="shared" si="2"/>
        <v>0</v>
      </c>
      <c r="I17" s="920">
        <f t="shared" si="3"/>
        <v>0</v>
      </c>
      <c r="J17" s="485">
        <f t="shared" si="6"/>
        <v>0</v>
      </c>
      <c r="K17" s="5">
        <f>'t1'!M17</f>
        <v>0</v>
      </c>
      <c r="L17" s="1144" t="s">
        <v>290</v>
      </c>
      <c r="AA17" s="216"/>
      <c r="AB17" s="214"/>
      <c r="AC17" s="214"/>
      <c r="AD17" s="214"/>
      <c r="AE17" s="214"/>
      <c r="AF17" s="214"/>
      <c r="AG17" s="215"/>
      <c r="AH17" s="485">
        <f t="shared" si="7"/>
        <v>0</v>
      </c>
      <c r="AI17" s="5">
        <f>'t1'!AK17</f>
        <v>0</v>
      </c>
    </row>
    <row r="18" spans="1:35" ht="12" customHeight="1">
      <c r="A18" s="158" t="str">
        <f>'t1'!A18</f>
        <v>POSIZIONE ECONOMICA B1</v>
      </c>
      <c r="B18" s="230" t="str">
        <f>'t1'!B18</f>
        <v>030000</v>
      </c>
      <c r="C18" s="216">
        <f t="shared" si="4"/>
        <v>0</v>
      </c>
      <c r="D18" s="919">
        <f t="shared" si="5"/>
        <v>0</v>
      </c>
      <c r="E18" s="919">
        <f t="shared" si="0"/>
        <v>0</v>
      </c>
      <c r="F18" s="919">
        <f t="shared" si="0"/>
        <v>0</v>
      </c>
      <c r="G18" s="919">
        <f t="shared" si="1"/>
        <v>0</v>
      </c>
      <c r="H18" s="919">
        <f t="shared" si="2"/>
        <v>0</v>
      </c>
      <c r="I18" s="920">
        <f t="shared" si="3"/>
        <v>0</v>
      </c>
      <c r="J18" s="485">
        <f t="shared" si="6"/>
        <v>0</v>
      </c>
      <c r="K18" s="5">
        <f>'t1'!M18</f>
        <v>0</v>
      </c>
      <c r="L18" s="1144" t="s">
        <v>290</v>
      </c>
      <c r="AA18" s="216"/>
      <c r="AB18" s="214"/>
      <c r="AC18" s="214"/>
      <c r="AD18" s="214"/>
      <c r="AE18" s="214"/>
      <c r="AF18" s="214"/>
      <c r="AG18" s="215"/>
      <c r="AH18" s="485">
        <f t="shared" si="7"/>
        <v>0</v>
      </c>
      <c r="AI18" s="5">
        <f>'t1'!AK18</f>
        <v>0</v>
      </c>
    </row>
    <row r="19" spans="1:35" ht="12" customHeight="1">
      <c r="A19" s="158" t="str">
        <f>'t1'!A19</f>
        <v>POSIZIONE ECONOMICA A3</v>
      </c>
      <c r="B19" s="230" t="str">
        <f>'t1'!B19</f>
        <v>027000</v>
      </c>
      <c r="C19" s="216">
        <f t="shared" si="4"/>
        <v>0</v>
      </c>
      <c r="D19" s="919">
        <f t="shared" si="5"/>
        <v>0</v>
      </c>
      <c r="E19" s="919">
        <f t="shared" si="0"/>
        <v>0</v>
      </c>
      <c r="F19" s="919">
        <f t="shared" si="0"/>
        <v>0</v>
      </c>
      <c r="G19" s="919">
        <f t="shared" si="1"/>
        <v>0</v>
      </c>
      <c r="H19" s="919">
        <f t="shared" si="2"/>
        <v>0</v>
      </c>
      <c r="I19" s="920">
        <f t="shared" si="3"/>
        <v>0</v>
      </c>
      <c r="J19" s="485">
        <f t="shared" si="6"/>
        <v>0</v>
      </c>
      <c r="K19" s="5">
        <f>'t1'!M19</f>
        <v>0</v>
      </c>
      <c r="L19" s="1144" t="s">
        <v>290</v>
      </c>
      <c r="AA19" s="216"/>
      <c r="AB19" s="214"/>
      <c r="AC19" s="214"/>
      <c r="AD19" s="214"/>
      <c r="AE19" s="214"/>
      <c r="AF19" s="214"/>
      <c r="AG19" s="215"/>
      <c r="AH19" s="485">
        <f t="shared" si="7"/>
        <v>0</v>
      </c>
      <c r="AI19" s="5">
        <f>'t1'!AK19</f>
        <v>0</v>
      </c>
    </row>
    <row r="20" spans="1:35" ht="12" customHeight="1">
      <c r="A20" s="158" t="str">
        <f>'t1'!A20</f>
        <v>POSIZIONE ECONOMICA A2</v>
      </c>
      <c r="B20" s="230" t="str">
        <f>'t1'!B20</f>
        <v>025000</v>
      </c>
      <c r="C20" s="216">
        <f t="shared" si="4"/>
        <v>0</v>
      </c>
      <c r="D20" s="919">
        <f t="shared" si="5"/>
        <v>0</v>
      </c>
      <c r="E20" s="919">
        <f t="shared" si="0"/>
        <v>0</v>
      </c>
      <c r="F20" s="919">
        <f t="shared" si="0"/>
        <v>0</v>
      </c>
      <c r="G20" s="919">
        <f t="shared" si="1"/>
        <v>0</v>
      </c>
      <c r="H20" s="919">
        <f t="shared" si="2"/>
        <v>0</v>
      </c>
      <c r="I20" s="920">
        <f t="shared" si="3"/>
        <v>0</v>
      </c>
      <c r="J20" s="485">
        <f t="shared" si="6"/>
        <v>0</v>
      </c>
      <c r="K20" s="5">
        <f>'t1'!M20</f>
        <v>0</v>
      </c>
      <c r="L20" s="1144" t="s">
        <v>290</v>
      </c>
      <c r="AA20" s="216"/>
      <c r="AB20" s="214"/>
      <c r="AC20" s="214"/>
      <c r="AD20" s="214"/>
      <c r="AE20" s="214"/>
      <c r="AF20" s="214"/>
      <c r="AG20" s="215"/>
      <c r="AH20" s="485">
        <f t="shared" si="7"/>
        <v>0</v>
      </c>
      <c r="AI20" s="5">
        <f>'t1'!AK20</f>
        <v>0</v>
      </c>
    </row>
    <row r="21" spans="1:35" ht="12" customHeight="1">
      <c r="A21" s="158" t="str">
        <f>'t1'!A21</f>
        <v>POSIZIONE ECONOMICA A1</v>
      </c>
      <c r="B21" s="230" t="str">
        <f>'t1'!B21</f>
        <v>023000</v>
      </c>
      <c r="C21" s="216">
        <f t="shared" si="4"/>
        <v>0</v>
      </c>
      <c r="D21" s="919">
        <f t="shared" si="5"/>
        <v>0</v>
      </c>
      <c r="E21" s="919">
        <f t="shared" si="0"/>
        <v>0</v>
      </c>
      <c r="F21" s="919">
        <f t="shared" si="0"/>
        <v>0</v>
      </c>
      <c r="G21" s="919">
        <f t="shared" si="1"/>
        <v>0</v>
      </c>
      <c r="H21" s="919">
        <f t="shared" si="2"/>
        <v>0</v>
      </c>
      <c r="I21" s="920">
        <f t="shared" si="3"/>
        <v>0</v>
      </c>
      <c r="J21" s="485">
        <f t="shared" si="6"/>
        <v>0</v>
      </c>
      <c r="K21" s="5">
        <f>'t1'!M21</f>
        <v>0</v>
      </c>
      <c r="L21" s="1144" t="s">
        <v>290</v>
      </c>
      <c r="AA21" s="216"/>
      <c r="AB21" s="214"/>
      <c r="AC21" s="214"/>
      <c r="AD21" s="214"/>
      <c r="AE21" s="214"/>
      <c r="AF21" s="214"/>
      <c r="AG21" s="215"/>
      <c r="AH21" s="485">
        <f t="shared" si="7"/>
        <v>0</v>
      </c>
      <c r="AI21" s="5">
        <f>'t1'!AK21</f>
        <v>0</v>
      </c>
    </row>
    <row r="22" spans="1:35" ht="12" customHeight="1" thickBot="1">
      <c r="A22" s="158" t="str">
        <f>'t1'!A22</f>
        <v>CONTRATTISTI (a)</v>
      </c>
      <c r="B22" s="230" t="str">
        <f>'t1'!B22</f>
        <v>000061</v>
      </c>
      <c r="C22" s="216">
        <f t="shared" si="4"/>
        <v>0</v>
      </c>
      <c r="D22" s="919">
        <f t="shared" si="5"/>
        <v>0</v>
      </c>
      <c r="E22" s="919">
        <f t="shared" si="0"/>
        <v>0</v>
      </c>
      <c r="F22" s="919">
        <f t="shared" si="0"/>
        <v>0</v>
      </c>
      <c r="G22" s="919">
        <f t="shared" si="1"/>
        <v>0</v>
      </c>
      <c r="H22" s="919">
        <f t="shared" si="2"/>
        <v>0</v>
      </c>
      <c r="I22" s="920">
        <f t="shared" si="3"/>
        <v>0</v>
      </c>
      <c r="J22" s="485">
        <f t="shared" si="6"/>
        <v>0</v>
      </c>
      <c r="K22" s="5">
        <f>'t1'!M22</f>
        <v>0</v>
      </c>
      <c r="L22" s="1144" t="s">
        <v>769</v>
      </c>
      <c r="AA22" s="216"/>
      <c r="AB22" s="214"/>
      <c r="AC22" s="214"/>
      <c r="AD22" s="214"/>
      <c r="AE22" s="214"/>
      <c r="AF22" s="214"/>
      <c r="AG22" s="215"/>
      <c r="AH22" s="485">
        <f t="shared" si="7"/>
        <v>0</v>
      </c>
      <c r="AI22" s="5">
        <f>'t1'!AK22</f>
        <v>0</v>
      </c>
    </row>
    <row r="23" spans="1:34" ht="12" customHeight="1" thickBot="1" thickTop="1">
      <c r="A23" s="125" t="s">
        <v>77</v>
      </c>
      <c r="B23" s="126"/>
      <c r="C23" s="532">
        <f aca="true" t="shared" si="8" ref="C23:I23">SUM(C6:C22)</f>
        <v>0</v>
      </c>
      <c r="D23" s="483">
        <f t="shared" si="8"/>
        <v>0</v>
      </c>
      <c r="E23" s="483">
        <f t="shared" si="8"/>
        <v>0</v>
      </c>
      <c r="F23" s="483">
        <f t="shared" si="8"/>
        <v>0</v>
      </c>
      <c r="G23" s="483">
        <f t="shared" si="8"/>
        <v>0</v>
      </c>
      <c r="H23" s="483">
        <f t="shared" si="8"/>
        <v>0</v>
      </c>
      <c r="I23" s="483">
        <f t="shared" si="8"/>
        <v>0</v>
      </c>
      <c r="J23" s="484">
        <f>SUM(J6:J22)</f>
        <v>0</v>
      </c>
      <c r="AA23" s="532">
        <f aca="true" t="shared" si="9" ref="AA23:AH23">SUM(AA6:AA22)</f>
        <v>0</v>
      </c>
      <c r="AB23" s="483">
        <f t="shared" si="9"/>
        <v>0</v>
      </c>
      <c r="AC23" s="483">
        <f t="shared" si="9"/>
        <v>0</v>
      </c>
      <c r="AD23" s="483">
        <f t="shared" si="9"/>
        <v>0</v>
      </c>
      <c r="AE23" s="483">
        <f t="shared" si="9"/>
        <v>0</v>
      </c>
      <c r="AF23" s="483">
        <f t="shared" si="9"/>
        <v>0</v>
      </c>
      <c r="AG23" s="483">
        <f t="shared" si="9"/>
        <v>0</v>
      </c>
      <c r="AH23" s="484">
        <f t="shared" si="9"/>
        <v>0</v>
      </c>
    </row>
    <row r="24" spans="1:34" s="46" customFormat="1" ht="9.75">
      <c r="A24" s="26" t="str">
        <f>'t1'!$A$24</f>
        <v>(a) personale a tempo indeterminato al quale viene applicato un contratto di lavoro di tipo privatistico (es.:tipografico,chimico,edile,metalmeccanico,portierato, ecc.)</v>
      </c>
      <c r="B24" s="7"/>
      <c r="C24" s="5"/>
      <c r="D24" s="5"/>
      <c r="E24" s="5"/>
      <c r="F24" s="5"/>
      <c r="G24" s="5"/>
      <c r="H24" s="5"/>
      <c r="I24" s="5"/>
      <c r="J24" s="5"/>
      <c r="AA24" s="5"/>
      <c r="AB24" s="5"/>
      <c r="AC24" s="5"/>
      <c r="AD24" s="5"/>
      <c r="AE24" s="5"/>
      <c r="AF24" s="5"/>
      <c r="AG24" s="5"/>
      <c r="AH24" s="5"/>
    </row>
    <row r="25" ht="9.75">
      <c r="A25" s="26"/>
    </row>
    <row r="26" ht="9.75">
      <c r="A26" s="5" t="s">
        <v>187</v>
      </c>
    </row>
    <row r="27" ht="9.75">
      <c r="A27" s="5" t="s">
        <v>188</v>
      </c>
    </row>
  </sheetData>
  <sheetProtection password="EA98" sheet="1" formatColumns="0" selectLockedCells="1"/>
  <mergeCells count="3">
    <mergeCell ref="H2:J2"/>
    <mergeCell ref="AF2:AH2"/>
    <mergeCell ref="A1:AH1"/>
  </mergeCells>
  <conditionalFormatting sqref="AA6:AH22 A6:J22">
    <cfRule type="expression" priority="1" dxfId="3" stopIfTrue="1">
      <formula>$K6&gt;0</formula>
    </cfRule>
  </conditionalFormatting>
  <dataValidations count="2">
    <dataValidation type="decimal" allowBlank="1" showInputMessage="1" showErrorMessage="1" sqref="AA6:AA22">
      <formula1>0</formula1>
      <formula2>99999999</formula2>
    </dataValidation>
    <dataValidation type="whole" allowBlank="1" showInputMessage="1" showErrorMessage="1" errorTitle="ERRORE NEL DATO IMMESSO" error="INSERIRE SOLO NUMERI INTERI" sqref="AB6:AG22">
      <formula1>1</formula1>
      <formula2>999999999999</formula2>
    </dataValidation>
  </dataValidations>
  <printOptions horizontalCentered="1" verticalCentered="1"/>
  <pageMargins left="0" right="0" top="0.1968503937007874" bottom="0.15748031496062992" header="0.1968503937007874" footer="0.15748031496062992"/>
  <pageSetup horizontalDpi="300" verticalDpi="300" orientation="landscape" paperSize="9" scale="80" r:id="rId2"/>
  <drawing r:id="rId1"/>
</worksheet>
</file>

<file path=xl/worksheets/sheet16.xml><?xml version="1.0" encoding="utf-8"?>
<worksheet xmlns="http://schemas.openxmlformats.org/spreadsheetml/2006/main" xmlns:r="http://schemas.openxmlformats.org/officeDocument/2006/relationships">
  <sheetPr codeName="Foglio20"/>
  <dimension ref="A1:AS29"/>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AA6" sqref="AA6"/>
    </sheetView>
  </sheetViews>
  <sheetFormatPr defaultColWidth="9.33203125" defaultRowHeight="10.5"/>
  <cols>
    <col min="1" max="1" width="40.66015625" style="5" customWidth="1"/>
    <col min="2" max="2" width="8.66015625" style="7" customWidth="1"/>
    <col min="3" max="8" width="11.5" style="5" hidden="1" customWidth="1"/>
    <col min="9" max="10" width="10" style="5" hidden="1" customWidth="1"/>
    <col min="11" max="12" width="11.5" style="5" hidden="1" customWidth="1"/>
    <col min="13" max="14" width="12.66015625" style="5" hidden="1" customWidth="1"/>
    <col min="15" max="18" width="11.5" style="5" hidden="1" customWidth="1"/>
    <col min="19" max="26" width="9.33203125" style="5" hidden="1" customWidth="1"/>
    <col min="27" max="32" width="11.5" style="5" customWidth="1"/>
    <col min="33" max="34" width="10.83203125" style="5" customWidth="1"/>
    <col min="35" max="36" width="11.5" style="5" customWidth="1"/>
    <col min="37" max="38" width="12.66015625" style="5" customWidth="1"/>
    <col min="39" max="42" width="11.5" style="5" customWidth="1"/>
    <col min="43" max="43" width="0" style="5" hidden="1" customWidth="1"/>
    <col min="44" max="16384" width="9.33203125" style="5" customWidth="1"/>
  </cols>
  <sheetData>
    <row r="1" spans="1:42" ht="36" customHeight="1">
      <c r="A1" s="1349" t="str">
        <f>'t1'!A1</f>
        <v>CNEL - anno 2018</v>
      </c>
      <c r="B1" s="1349"/>
      <c r="C1" s="1349"/>
      <c r="D1" s="1349"/>
      <c r="E1" s="1349"/>
      <c r="F1" s="1349"/>
      <c r="G1" s="1349"/>
      <c r="H1" s="1349"/>
      <c r="I1" s="1349"/>
      <c r="J1" s="1349"/>
      <c r="K1" s="1349"/>
      <c r="L1" s="1349"/>
      <c r="M1" s="1349"/>
      <c r="N1" s="1349"/>
      <c r="O1" s="1349"/>
      <c r="P1" s="1349"/>
      <c r="Q1" s="1349"/>
      <c r="R1" s="1349"/>
      <c r="S1" s="1349"/>
      <c r="T1" s="1349"/>
      <c r="U1" s="1349"/>
      <c r="V1" s="1349"/>
      <c r="W1" s="1349"/>
      <c r="X1" s="1349"/>
      <c r="Y1" s="1349"/>
      <c r="Z1" s="1349"/>
      <c r="AA1" s="1349"/>
      <c r="AB1" s="1349"/>
      <c r="AC1" s="1349"/>
      <c r="AD1" s="1349"/>
      <c r="AE1" s="1349"/>
      <c r="AF1" s="1349"/>
      <c r="AG1" s="1349"/>
      <c r="AH1" s="1349"/>
      <c r="AI1" s="1349"/>
      <c r="AJ1" s="1349"/>
      <c r="AK1" s="1349"/>
      <c r="AL1" s="1349"/>
      <c r="AM1" s="1349"/>
      <c r="AN1" s="1349"/>
      <c r="AO1" s="1349"/>
      <c r="AP1" s="1349"/>
    </row>
    <row r="2" spans="1:42" ht="27" customHeight="1" thickBot="1">
      <c r="A2" s="6"/>
      <c r="H2" s="113"/>
      <c r="I2" s="113"/>
      <c r="J2" s="113"/>
      <c r="K2" s="113"/>
      <c r="L2" s="113"/>
      <c r="M2" s="113"/>
      <c r="N2" s="113"/>
      <c r="O2" s="113"/>
      <c r="P2" s="113"/>
      <c r="Q2" s="113"/>
      <c r="R2" s="491"/>
      <c r="AF2" s="113"/>
      <c r="AG2" s="113"/>
      <c r="AH2" s="113"/>
      <c r="AI2" s="113"/>
      <c r="AJ2" s="113"/>
      <c r="AK2" s="113"/>
      <c r="AL2" s="113"/>
      <c r="AM2" s="113"/>
      <c r="AN2" s="113"/>
      <c r="AO2" s="113"/>
      <c r="AP2" s="491"/>
    </row>
    <row r="3" spans="1:42" ht="13.5" thickBot="1">
      <c r="A3" s="12"/>
      <c r="B3" s="13"/>
      <c r="C3" s="319" t="s">
        <v>260</v>
      </c>
      <c r="D3" s="17"/>
      <c r="E3" s="17"/>
      <c r="F3" s="17"/>
      <c r="G3" s="103"/>
      <c r="H3" s="103"/>
      <c r="I3" s="103"/>
      <c r="J3" s="103"/>
      <c r="K3" s="103"/>
      <c r="L3" s="103"/>
      <c r="M3" s="103"/>
      <c r="N3" s="103"/>
      <c r="O3" s="103"/>
      <c r="P3" s="103"/>
      <c r="Q3" s="103"/>
      <c r="R3" s="108"/>
      <c r="AA3" s="319" t="s">
        <v>260</v>
      </c>
      <c r="AB3" s="17"/>
      <c r="AC3" s="17"/>
      <c r="AD3" s="17"/>
      <c r="AE3" s="103"/>
      <c r="AF3" s="103"/>
      <c r="AG3" s="103"/>
      <c r="AH3" s="103"/>
      <c r="AI3" s="103"/>
      <c r="AJ3" s="103"/>
      <c r="AK3" s="103"/>
      <c r="AL3" s="103"/>
      <c r="AM3" s="103"/>
      <c r="AN3" s="103"/>
      <c r="AO3" s="103"/>
      <c r="AP3" s="108"/>
    </row>
    <row r="4" spans="1:42" ht="48" customHeight="1" thickTop="1">
      <c r="A4" s="899" t="s">
        <v>147</v>
      </c>
      <c r="B4" s="900" t="s">
        <v>74</v>
      </c>
      <c r="C4" s="494" t="s">
        <v>490</v>
      </c>
      <c r="D4" s="494" t="s">
        <v>491</v>
      </c>
      <c r="E4" s="494" t="s">
        <v>492</v>
      </c>
      <c r="F4" s="955" t="s">
        <v>493</v>
      </c>
      <c r="G4" s="955" t="s">
        <v>494</v>
      </c>
      <c r="H4" s="955" t="s">
        <v>495</v>
      </c>
      <c r="I4" s="955" t="s">
        <v>652</v>
      </c>
      <c r="J4" s="1179" t="s">
        <v>894</v>
      </c>
      <c r="K4" s="495" t="s">
        <v>502</v>
      </c>
      <c r="L4" s="495" t="s">
        <v>504</v>
      </c>
      <c r="M4" s="495" t="s">
        <v>571</v>
      </c>
      <c r="N4" s="1179" t="s">
        <v>806</v>
      </c>
      <c r="O4" s="675" t="s">
        <v>310</v>
      </c>
      <c r="P4" s="496" t="s">
        <v>365</v>
      </c>
      <c r="Q4" s="676" t="s">
        <v>311</v>
      </c>
      <c r="R4" s="122" t="s">
        <v>158</v>
      </c>
      <c r="AA4" s="494" t="s">
        <v>490</v>
      </c>
      <c r="AB4" s="494" t="s">
        <v>491</v>
      </c>
      <c r="AC4" s="494" t="s">
        <v>492</v>
      </c>
      <c r="AD4" s="955" t="s">
        <v>493</v>
      </c>
      <c r="AE4" s="955" t="s">
        <v>494</v>
      </c>
      <c r="AF4" s="955" t="s">
        <v>495</v>
      </c>
      <c r="AG4" s="955" t="s">
        <v>652</v>
      </c>
      <c r="AH4" s="1179" t="s">
        <v>894</v>
      </c>
      <c r="AI4" s="495" t="s">
        <v>502</v>
      </c>
      <c r="AJ4" s="495" t="s">
        <v>504</v>
      </c>
      <c r="AK4" s="495" t="s">
        <v>571</v>
      </c>
      <c r="AL4" s="1179" t="s">
        <v>806</v>
      </c>
      <c r="AM4" s="675" t="s">
        <v>310</v>
      </c>
      <c r="AN4" s="496" t="s">
        <v>365</v>
      </c>
      <c r="AO4" s="676" t="s">
        <v>311</v>
      </c>
      <c r="AP4" s="122" t="s">
        <v>158</v>
      </c>
    </row>
    <row r="5" spans="1:42" ht="14.25" customHeight="1" thickBot="1">
      <c r="A5" s="901" t="s">
        <v>645</v>
      </c>
      <c r="B5" s="123"/>
      <c r="C5" s="497" t="s">
        <v>496</v>
      </c>
      <c r="D5" s="497" t="s">
        <v>497</v>
      </c>
      <c r="E5" s="497" t="s">
        <v>498</v>
      </c>
      <c r="F5" s="497" t="s">
        <v>499</v>
      </c>
      <c r="G5" s="497" t="s">
        <v>500</v>
      </c>
      <c r="H5" s="497" t="s">
        <v>501</v>
      </c>
      <c r="I5" s="497" t="s">
        <v>651</v>
      </c>
      <c r="J5" s="497" t="s">
        <v>895</v>
      </c>
      <c r="K5" s="498" t="s">
        <v>503</v>
      </c>
      <c r="L5" s="498" t="s">
        <v>505</v>
      </c>
      <c r="M5" s="498" t="s">
        <v>572</v>
      </c>
      <c r="N5" s="498" t="s">
        <v>807</v>
      </c>
      <c r="O5" s="498" t="s">
        <v>285</v>
      </c>
      <c r="P5" s="498" t="s">
        <v>286</v>
      </c>
      <c r="Q5" s="498" t="s">
        <v>287</v>
      </c>
      <c r="R5" s="124" t="s">
        <v>111</v>
      </c>
      <c r="AA5" s="497" t="s">
        <v>496</v>
      </c>
      <c r="AB5" s="497" t="s">
        <v>497</v>
      </c>
      <c r="AC5" s="497" t="s">
        <v>498</v>
      </c>
      <c r="AD5" s="497" t="s">
        <v>499</v>
      </c>
      <c r="AE5" s="497" t="s">
        <v>500</v>
      </c>
      <c r="AF5" s="497" t="s">
        <v>501</v>
      </c>
      <c r="AG5" s="497" t="s">
        <v>651</v>
      </c>
      <c r="AH5" s="497" t="s">
        <v>895</v>
      </c>
      <c r="AI5" s="498" t="s">
        <v>503</v>
      </c>
      <c r="AJ5" s="498" t="s">
        <v>505</v>
      </c>
      <c r="AK5" s="498" t="s">
        <v>572</v>
      </c>
      <c r="AL5" s="498" t="s">
        <v>807</v>
      </c>
      <c r="AM5" s="498" t="s">
        <v>285</v>
      </c>
      <c r="AN5" s="498" t="s">
        <v>286</v>
      </c>
      <c r="AO5" s="498" t="s">
        <v>287</v>
      </c>
      <c r="AP5" s="124" t="s">
        <v>111</v>
      </c>
    </row>
    <row r="6" spans="1:43" ht="12.75" customHeight="1" thickTop="1">
      <c r="A6" s="25" t="str">
        <f>'t1'!A6</f>
        <v>DIRIGENTE I FASCIA</v>
      </c>
      <c r="B6" s="237" t="str">
        <f>'t1'!B6</f>
        <v>0D0077</v>
      </c>
      <c r="C6" s="921">
        <f>ROUND(AA6,0)</f>
        <v>0</v>
      </c>
      <c r="D6" s="921">
        <f aca="true" t="shared" si="0" ref="D6:D22">ROUND(AB6,0)</f>
        <v>0</v>
      </c>
      <c r="E6" s="921">
        <f aca="true" t="shared" si="1" ref="E6:F22">ROUND(AC6,0)</f>
        <v>0</v>
      </c>
      <c r="F6" s="921">
        <f t="shared" si="1"/>
        <v>0</v>
      </c>
      <c r="G6" s="922">
        <f aca="true" t="shared" si="2" ref="G6:G22">ROUND(AE6,0)</f>
        <v>0</v>
      </c>
      <c r="H6" s="922">
        <f aca="true" t="shared" si="3" ref="H6:H22">ROUND(AF6,0)</f>
        <v>0</v>
      </c>
      <c r="I6" s="922">
        <f aca="true" t="shared" si="4" ref="I6:J22">ROUND(AG6,0)</f>
        <v>0</v>
      </c>
      <c r="J6" s="922">
        <f t="shared" si="4"/>
        <v>0</v>
      </c>
      <c r="K6" s="922">
        <f aca="true" t="shared" si="5" ref="K6:K22">ROUND(AI6,0)</f>
        <v>0</v>
      </c>
      <c r="L6" s="922">
        <f aca="true" t="shared" si="6" ref="L6:L22">ROUND(AJ6,0)</f>
        <v>0</v>
      </c>
      <c r="M6" s="922">
        <f aca="true" t="shared" si="7" ref="M6:N22">ROUND(AK6,0)</f>
        <v>0</v>
      </c>
      <c r="N6" s="922">
        <f t="shared" si="7"/>
        <v>0</v>
      </c>
      <c r="O6" s="922">
        <f aca="true" t="shared" si="8" ref="O6:O22">ROUND(AM6,0)</f>
        <v>0</v>
      </c>
      <c r="P6" s="922">
        <f aca="true" t="shared" si="9" ref="P6:P22">ROUND(AN6,0)</f>
        <v>0</v>
      </c>
      <c r="Q6" s="922">
        <f aca="true" t="shared" si="10" ref="Q6:Q22">ROUND(AO6,0)</f>
        <v>0</v>
      </c>
      <c r="R6" s="487">
        <f aca="true" t="shared" si="11" ref="R6:R22">SUM(C6:Q6)</f>
        <v>0</v>
      </c>
      <c r="S6" s="5">
        <f>'t1'!M6</f>
        <v>0</v>
      </c>
      <c r="AA6" s="217"/>
      <c r="AB6" s="217"/>
      <c r="AC6" s="217"/>
      <c r="AD6" s="214"/>
      <c r="AE6" s="218"/>
      <c r="AF6" s="218"/>
      <c r="AG6" s="218"/>
      <c r="AH6" s="218"/>
      <c r="AI6" s="218"/>
      <c r="AJ6" s="218"/>
      <c r="AK6" s="218"/>
      <c r="AL6" s="218"/>
      <c r="AM6" s="218"/>
      <c r="AN6" s="218"/>
      <c r="AO6" s="218"/>
      <c r="AP6" s="487">
        <f aca="true" t="shared" si="12" ref="AP6:AP22">SUM(AA6:AO6)</f>
        <v>0</v>
      </c>
      <c r="AQ6" s="5">
        <f>'t1'!AK6</f>
        <v>0</v>
      </c>
    </row>
    <row r="7" spans="1:43" ht="12.75" customHeight="1">
      <c r="A7" s="158" t="str">
        <f>'t1'!A7</f>
        <v>DIRIGENTE I FASCIA A TEMPO DETERM.</v>
      </c>
      <c r="B7" s="230" t="str">
        <f>'t1'!B7</f>
        <v>0D0078</v>
      </c>
      <c r="C7" s="921">
        <f aca="true" t="shared" si="13" ref="C7:C22">ROUND(AA7,0)</f>
        <v>0</v>
      </c>
      <c r="D7" s="921">
        <f t="shared" si="0"/>
        <v>0</v>
      </c>
      <c r="E7" s="921">
        <f t="shared" si="1"/>
        <v>0</v>
      </c>
      <c r="F7" s="921">
        <f t="shared" si="1"/>
        <v>0</v>
      </c>
      <c r="G7" s="922">
        <f t="shared" si="2"/>
        <v>0</v>
      </c>
      <c r="H7" s="922">
        <f t="shared" si="3"/>
        <v>0</v>
      </c>
      <c r="I7" s="922">
        <f t="shared" si="4"/>
        <v>0</v>
      </c>
      <c r="J7" s="922">
        <f t="shared" si="4"/>
        <v>0</v>
      </c>
      <c r="K7" s="922">
        <f t="shared" si="5"/>
        <v>0</v>
      </c>
      <c r="L7" s="922">
        <f t="shared" si="6"/>
        <v>0</v>
      </c>
      <c r="M7" s="922">
        <f t="shared" si="7"/>
        <v>0</v>
      </c>
      <c r="N7" s="922">
        <f t="shared" si="7"/>
        <v>0</v>
      </c>
      <c r="O7" s="922">
        <f t="shared" si="8"/>
        <v>0</v>
      </c>
      <c r="P7" s="922">
        <f t="shared" si="9"/>
        <v>0</v>
      </c>
      <c r="Q7" s="922">
        <f t="shared" si="10"/>
        <v>0</v>
      </c>
      <c r="R7" s="487">
        <f t="shared" si="11"/>
        <v>0</v>
      </c>
      <c r="S7" s="5">
        <f>'t1'!M7</f>
        <v>0</v>
      </c>
      <c r="AA7" s="217"/>
      <c r="AB7" s="217"/>
      <c r="AC7" s="217"/>
      <c r="AD7" s="214"/>
      <c r="AE7" s="218"/>
      <c r="AF7" s="218"/>
      <c r="AG7" s="218"/>
      <c r="AH7" s="218"/>
      <c r="AI7" s="218"/>
      <c r="AJ7" s="218"/>
      <c r="AK7" s="218"/>
      <c r="AL7" s="218"/>
      <c r="AM7" s="218"/>
      <c r="AN7" s="218"/>
      <c r="AO7" s="218"/>
      <c r="AP7" s="487">
        <f t="shared" si="12"/>
        <v>0</v>
      </c>
      <c r="AQ7" s="5">
        <f>'t1'!AK7</f>
        <v>0</v>
      </c>
    </row>
    <row r="8" spans="1:43" ht="12.75" customHeight="1">
      <c r="A8" s="158" t="str">
        <f>'t1'!A8</f>
        <v>DIRIGENTE II FASCIA</v>
      </c>
      <c r="B8" s="230" t="str">
        <f>'t1'!B8</f>
        <v>0D0079</v>
      </c>
      <c r="C8" s="921">
        <f t="shared" si="13"/>
        <v>0</v>
      </c>
      <c r="D8" s="921">
        <f t="shared" si="0"/>
        <v>0</v>
      </c>
      <c r="E8" s="921">
        <f t="shared" si="1"/>
        <v>0</v>
      </c>
      <c r="F8" s="921">
        <f t="shared" si="1"/>
        <v>0</v>
      </c>
      <c r="G8" s="922">
        <f t="shared" si="2"/>
        <v>0</v>
      </c>
      <c r="H8" s="922">
        <f t="shared" si="3"/>
        <v>0</v>
      </c>
      <c r="I8" s="922">
        <f t="shared" si="4"/>
        <v>0</v>
      </c>
      <c r="J8" s="922">
        <f t="shared" si="4"/>
        <v>0</v>
      </c>
      <c r="K8" s="922">
        <f t="shared" si="5"/>
        <v>0</v>
      </c>
      <c r="L8" s="922">
        <f t="shared" si="6"/>
        <v>0</v>
      </c>
      <c r="M8" s="922">
        <f t="shared" si="7"/>
        <v>0</v>
      </c>
      <c r="N8" s="922">
        <f t="shared" si="7"/>
        <v>0</v>
      </c>
      <c r="O8" s="922">
        <f t="shared" si="8"/>
        <v>0</v>
      </c>
      <c r="P8" s="922">
        <f t="shared" si="9"/>
        <v>0</v>
      </c>
      <c r="Q8" s="922">
        <f t="shared" si="10"/>
        <v>0</v>
      </c>
      <c r="R8" s="487">
        <f t="shared" si="11"/>
        <v>0</v>
      </c>
      <c r="S8" s="5">
        <f>'t1'!M8</f>
        <v>0</v>
      </c>
      <c r="AA8" s="217"/>
      <c r="AB8" s="217"/>
      <c r="AC8" s="217"/>
      <c r="AD8" s="214"/>
      <c r="AE8" s="218"/>
      <c r="AF8" s="218"/>
      <c r="AG8" s="218"/>
      <c r="AH8" s="218"/>
      <c r="AI8" s="218"/>
      <c r="AJ8" s="218"/>
      <c r="AK8" s="218"/>
      <c r="AL8" s="218"/>
      <c r="AM8" s="218"/>
      <c r="AN8" s="218"/>
      <c r="AO8" s="218"/>
      <c r="AP8" s="487">
        <f t="shared" si="12"/>
        <v>0</v>
      </c>
      <c r="AQ8" s="5">
        <f>'t1'!AK8</f>
        <v>0</v>
      </c>
    </row>
    <row r="9" spans="1:43" ht="12.75" customHeight="1">
      <c r="A9" s="158" t="str">
        <f>'t1'!A9</f>
        <v>DIRIGENTE II FASCIA A TEMPO DETERM.</v>
      </c>
      <c r="B9" s="230" t="str">
        <f>'t1'!B9</f>
        <v>0D0080</v>
      </c>
      <c r="C9" s="921">
        <f t="shared" si="13"/>
        <v>0</v>
      </c>
      <c r="D9" s="921">
        <f t="shared" si="0"/>
        <v>0</v>
      </c>
      <c r="E9" s="921">
        <f t="shared" si="1"/>
        <v>0</v>
      </c>
      <c r="F9" s="921">
        <f t="shared" si="1"/>
        <v>0</v>
      </c>
      <c r="G9" s="922">
        <f t="shared" si="2"/>
        <v>0</v>
      </c>
      <c r="H9" s="922">
        <f t="shared" si="3"/>
        <v>0</v>
      </c>
      <c r="I9" s="922">
        <f t="shared" si="4"/>
        <v>0</v>
      </c>
      <c r="J9" s="922">
        <f t="shared" si="4"/>
        <v>0</v>
      </c>
      <c r="K9" s="922">
        <f t="shared" si="5"/>
        <v>0</v>
      </c>
      <c r="L9" s="922">
        <f t="shared" si="6"/>
        <v>0</v>
      </c>
      <c r="M9" s="922">
        <f t="shared" si="7"/>
        <v>0</v>
      </c>
      <c r="N9" s="922">
        <f t="shared" si="7"/>
        <v>0</v>
      </c>
      <c r="O9" s="922">
        <f t="shared" si="8"/>
        <v>0</v>
      </c>
      <c r="P9" s="922">
        <f t="shared" si="9"/>
        <v>0</v>
      </c>
      <c r="Q9" s="922">
        <f t="shared" si="10"/>
        <v>0</v>
      </c>
      <c r="R9" s="487">
        <f t="shared" si="11"/>
        <v>0</v>
      </c>
      <c r="S9" s="5">
        <f>'t1'!M9</f>
        <v>0</v>
      </c>
      <c r="AA9" s="217"/>
      <c r="AB9" s="217"/>
      <c r="AC9" s="217"/>
      <c r="AD9" s="214"/>
      <c r="AE9" s="218"/>
      <c r="AF9" s="218"/>
      <c r="AG9" s="218"/>
      <c r="AH9" s="218"/>
      <c r="AI9" s="218"/>
      <c r="AJ9" s="218"/>
      <c r="AK9" s="218"/>
      <c r="AL9" s="218"/>
      <c r="AM9" s="218"/>
      <c r="AN9" s="218"/>
      <c r="AO9" s="218"/>
      <c r="AP9" s="487">
        <f t="shared" si="12"/>
        <v>0</v>
      </c>
      <c r="AQ9" s="5">
        <f>'t1'!AK9</f>
        <v>0</v>
      </c>
    </row>
    <row r="10" spans="1:43" ht="12.75" customHeight="1">
      <c r="A10" s="158" t="str">
        <f>'t1'!A10</f>
        <v>POSIZIONE ECONOMICA C5</v>
      </c>
      <c r="B10" s="230" t="str">
        <f>'t1'!B10</f>
        <v>046000</v>
      </c>
      <c r="C10" s="921">
        <f t="shared" si="13"/>
        <v>0</v>
      </c>
      <c r="D10" s="921">
        <f t="shared" si="0"/>
        <v>0</v>
      </c>
      <c r="E10" s="921">
        <f t="shared" si="1"/>
        <v>0</v>
      </c>
      <c r="F10" s="921">
        <f t="shared" si="1"/>
        <v>0</v>
      </c>
      <c r="G10" s="922">
        <f t="shared" si="2"/>
        <v>0</v>
      </c>
      <c r="H10" s="922">
        <f t="shared" si="3"/>
        <v>0</v>
      </c>
      <c r="I10" s="922">
        <f t="shared" si="4"/>
        <v>0</v>
      </c>
      <c r="J10" s="922">
        <f t="shared" si="4"/>
        <v>0</v>
      </c>
      <c r="K10" s="922">
        <f t="shared" si="5"/>
        <v>0</v>
      </c>
      <c r="L10" s="922">
        <f t="shared" si="6"/>
        <v>0</v>
      </c>
      <c r="M10" s="922">
        <f t="shared" si="7"/>
        <v>0</v>
      </c>
      <c r="N10" s="922">
        <f t="shared" si="7"/>
        <v>0</v>
      </c>
      <c r="O10" s="922">
        <f t="shared" si="8"/>
        <v>0</v>
      </c>
      <c r="P10" s="922">
        <f t="shared" si="9"/>
        <v>0</v>
      </c>
      <c r="Q10" s="922">
        <f t="shared" si="10"/>
        <v>0</v>
      </c>
      <c r="R10" s="487">
        <f t="shared" si="11"/>
        <v>0</v>
      </c>
      <c r="S10" s="5">
        <f>'t1'!M10</f>
        <v>0</v>
      </c>
      <c r="AA10" s="217"/>
      <c r="AB10" s="217"/>
      <c r="AC10" s="217"/>
      <c r="AD10" s="214"/>
      <c r="AE10" s="218"/>
      <c r="AF10" s="218"/>
      <c r="AG10" s="218"/>
      <c r="AH10" s="218"/>
      <c r="AI10" s="218"/>
      <c r="AJ10" s="218"/>
      <c r="AK10" s="218"/>
      <c r="AL10" s="218"/>
      <c r="AM10" s="218"/>
      <c r="AN10" s="218"/>
      <c r="AO10" s="218"/>
      <c r="AP10" s="487">
        <f t="shared" si="12"/>
        <v>0</v>
      </c>
      <c r="AQ10" s="5">
        <f>'t1'!AK10</f>
        <v>0</v>
      </c>
    </row>
    <row r="11" spans="1:43" ht="12.75" customHeight="1">
      <c r="A11" s="158" t="str">
        <f>'t1'!A11</f>
        <v>POSIZIONE ECONOMICA C4</v>
      </c>
      <c r="B11" s="230" t="str">
        <f>'t1'!B11</f>
        <v>045000</v>
      </c>
      <c r="C11" s="921">
        <f t="shared" si="13"/>
        <v>0</v>
      </c>
      <c r="D11" s="921">
        <f t="shared" si="0"/>
        <v>0</v>
      </c>
      <c r="E11" s="921">
        <f t="shared" si="1"/>
        <v>0</v>
      </c>
      <c r="F11" s="921">
        <f t="shared" si="1"/>
        <v>0</v>
      </c>
      <c r="G11" s="922">
        <f t="shared" si="2"/>
        <v>0</v>
      </c>
      <c r="H11" s="922">
        <f t="shared" si="3"/>
        <v>0</v>
      </c>
      <c r="I11" s="922">
        <f t="shared" si="4"/>
        <v>0</v>
      </c>
      <c r="J11" s="922">
        <f t="shared" si="4"/>
        <v>0</v>
      </c>
      <c r="K11" s="922">
        <f t="shared" si="5"/>
        <v>0</v>
      </c>
      <c r="L11" s="922">
        <f t="shared" si="6"/>
        <v>0</v>
      </c>
      <c r="M11" s="922">
        <f t="shared" si="7"/>
        <v>0</v>
      </c>
      <c r="N11" s="922">
        <f t="shared" si="7"/>
        <v>0</v>
      </c>
      <c r="O11" s="922">
        <f t="shared" si="8"/>
        <v>0</v>
      </c>
      <c r="P11" s="922">
        <f t="shared" si="9"/>
        <v>0</v>
      </c>
      <c r="Q11" s="922">
        <f t="shared" si="10"/>
        <v>0</v>
      </c>
      <c r="R11" s="487">
        <f t="shared" si="11"/>
        <v>0</v>
      </c>
      <c r="S11" s="5">
        <f>'t1'!M11</f>
        <v>0</v>
      </c>
      <c r="AA11" s="217"/>
      <c r="AB11" s="217"/>
      <c r="AC11" s="217"/>
      <c r="AD11" s="214"/>
      <c r="AE11" s="218"/>
      <c r="AF11" s="218"/>
      <c r="AG11" s="218"/>
      <c r="AH11" s="218"/>
      <c r="AI11" s="218"/>
      <c r="AJ11" s="218"/>
      <c r="AK11" s="218"/>
      <c r="AL11" s="218"/>
      <c r="AM11" s="218"/>
      <c r="AN11" s="218"/>
      <c r="AO11" s="218"/>
      <c r="AP11" s="487">
        <f t="shared" si="12"/>
        <v>0</v>
      </c>
      <c r="AQ11" s="5">
        <f>'t1'!AK11</f>
        <v>0</v>
      </c>
    </row>
    <row r="12" spans="1:43" ht="12.75" customHeight="1">
      <c r="A12" s="158" t="str">
        <f>'t1'!A12</f>
        <v>POSIZIONE ECONOMICA C3</v>
      </c>
      <c r="B12" s="230" t="str">
        <f>'t1'!B12</f>
        <v>043000</v>
      </c>
      <c r="C12" s="921">
        <f t="shared" si="13"/>
        <v>0</v>
      </c>
      <c r="D12" s="921">
        <f t="shared" si="0"/>
        <v>0</v>
      </c>
      <c r="E12" s="921">
        <f t="shared" si="1"/>
        <v>0</v>
      </c>
      <c r="F12" s="921">
        <f t="shared" si="1"/>
        <v>0</v>
      </c>
      <c r="G12" s="922">
        <f t="shared" si="2"/>
        <v>0</v>
      </c>
      <c r="H12" s="922">
        <f t="shared" si="3"/>
        <v>0</v>
      </c>
      <c r="I12" s="922">
        <f t="shared" si="4"/>
        <v>0</v>
      </c>
      <c r="J12" s="922">
        <f t="shared" si="4"/>
        <v>0</v>
      </c>
      <c r="K12" s="922">
        <f t="shared" si="5"/>
        <v>0</v>
      </c>
      <c r="L12" s="922">
        <f t="shared" si="6"/>
        <v>0</v>
      </c>
      <c r="M12" s="922">
        <f t="shared" si="7"/>
        <v>0</v>
      </c>
      <c r="N12" s="922">
        <f t="shared" si="7"/>
        <v>0</v>
      </c>
      <c r="O12" s="922">
        <f t="shared" si="8"/>
        <v>0</v>
      </c>
      <c r="P12" s="922">
        <f t="shared" si="9"/>
        <v>0</v>
      </c>
      <c r="Q12" s="922">
        <f t="shared" si="10"/>
        <v>0</v>
      </c>
      <c r="R12" s="487">
        <f t="shared" si="11"/>
        <v>0</v>
      </c>
      <c r="S12" s="5">
        <f>'t1'!M12</f>
        <v>0</v>
      </c>
      <c r="AA12" s="217"/>
      <c r="AB12" s="217"/>
      <c r="AC12" s="217"/>
      <c r="AD12" s="214"/>
      <c r="AE12" s="218"/>
      <c r="AF12" s="218"/>
      <c r="AG12" s="218"/>
      <c r="AH12" s="218"/>
      <c r="AI12" s="218"/>
      <c r="AJ12" s="218"/>
      <c r="AK12" s="218"/>
      <c r="AL12" s="218"/>
      <c r="AM12" s="218"/>
      <c r="AN12" s="218"/>
      <c r="AO12" s="218"/>
      <c r="AP12" s="487">
        <f t="shared" si="12"/>
        <v>0</v>
      </c>
      <c r="AQ12" s="5">
        <f>'t1'!AK12</f>
        <v>0</v>
      </c>
    </row>
    <row r="13" spans="1:43" ht="12.75" customHeight="1">
      <c r="A13" s="158" t="str">
        <f>'t1'!A13</f>
        <v>POSIZIONE ECONOMICA C2</v>
      </c>
      <c r="B13" s="230" t="str">
        <f>'t1'!B13</f>
        <v>042000</v>
      </c>
      <c r="C13" s="921">
        <f t="shared" si="13"/>
        <v>0</v>
      </c>
      <c r="D13" s="921">
        <f t="shared" si="0"/>
        <v>0</v>
      </c>
      <c r="E13" s="921">
        <f t="shared" si="1"/>
        <v>0</v>
      </c>
      <c r="F13" s="921">
        <f t="shared" si="1"/>
        <v>0</v>
      </c>
      <c r="G13" s="922">
        <f t="shared" si="2"/>
        <v>0</v>
      </c>
      <c r="H13" s="922">
        <f t="shared" si="3"/>
        <v>0</v>
      </c>
      <c r="I13" s="922">
        <f t="shared" si="4"/>
        <v>0</v>
      </c>
      <c r="J13" s="922">
        <f t="shared" si="4"/>
        <v>0</v>
      </c>
      <c r="K13" s="922">
        <f t="shared" si="5"/>
        <v>0</v>
      </c>
      <c r="L13" s="922">
        <f t="shared" si="6"/>
        <v>0</v>
      </c>
      <c r="M13" s="922">
        <f t="shared" si="7"/>
        <v>0</v>
      </c>
      <c r="N13" s="922">
        <f t="shared" si="7"/>
        <v>0</v>
      </c>
      <c r="O13" s="922">
        <f t="shared" si="8"/>
        <v>0</v>
      </c>
      <c r="P13" s="922">
        <f t="shared" si="9"/>
        <v>0</v>
      </c>
      <c r="Q13" s="922">
        <f t="shared" si="10"/>
        <v>0</v>
      </c>
      <c r="R13" s="487">
        <f t="shared" si="11"/>
        <v>0</v>
      </c>
      <c r="S13" s="5">
        <f>'t1'!M13</f>
        <v>0</v>
      </c>
      <c r="AA13" s="217"/>
      <c r="AB13" s="217"/>
      <c r="AC13" s="217"/>
      <c r="AD13" s="214"/>
      <c r="AE13" s="218"/>
      <c r="AF13" s="218"/>
      <c r="AG13" s="218"/>
      <c r="AH13" s="218"/>
      <c r="AI13" s="218"/>
      <c r="AJ13" s="218"/>
      <c r="AK13" s="218"/>
      <c r="AL13" s="218"/>
      <c r="AM13" s="218"/>
      <c r="AN13" s="218"/>
      <c r="AO13" s="218"/>
      <c r="AP13" s="487">
        <f t="shared" si="12"/>
        <v>0</v>
      </c>
      <c r="AQ13" s="5">
        <f>'t1'!AK13</f>
        <v>0</v>
      </c>
    </row>
    <row r="14" spans="1:43" ht="12.75" customHeight="1">
      <c r="A14" s="158" t="str">
        <f>'t1'!A14</f>
        <v>POSIZIONE ECONOMICA C1</v>
      </c>
      <c r="B14" s="230" t="str">
        <f>'t1'!B14</f>
        <v>040000</v>
      </c>
      <c r="C14" s="921">
        <f t="shared" si="13"/>
        <v>0</v>
      </c>
      <c r="D14" s="921">
        <f t="shared" si="0"/>
        <v>0</v>
      </c>
      <c r="E14" s="921">
        <f t="shared" si="1"/>
        <v>0</v>
      </c>
      <c r="F14" s="921">
        <f t="shared" si="1"/>
        <v>0</v>
      </c>
      <c r="G14" s="922">
        <f t="shared" si="2"/>
        <v>0</v>
      </c>
      <c r="H14" s="922">
        <f t="shared" si="3"/>
        <v>0</v>
      </c>
      <c r="I14" s="922">
        <f t="shared" si="4"/>
        <v>0</v>
      </c>
      <c r="J14" s="922">
        <f t="shared" si="4"/>
        <v>0</v>
      </c>
      <c r="K14" s="922">
        <f t="shared" si="5"/>
        <v>0</v>
      </c>
      <c r="L14" s="922">
        <f t="shared" si="6"/>
        <v>0</v>
      </c>
      <c r="M14" s="922">
        <f t="shared" si="7"/>
        <v>0</v>
      </c>
      <c r="N14" s="922">
        <f t="shared" si="7"/>
        <v>0</v>
      </c>
      <c r="O14" s="922">
        <f t="shared" si="8"/>
        <v>0</v>
      </c>
      <c r="P14" s="922">
        <f t="shared" si="9"/>
        <v>0</v>
      </c>
      <c r="Q14" s="922">
        <f t="shared" si="10"/>
        <v>0</v>
      </c>
      <c r="R14" s="487">
        <f t="shared" si="11"/>
        <v>0</v>
      </c>
      <c r="S14" s="5">
        <f>'t1'!M14</f>
        <v>0</v>
      </c>
      <c r="AA14" s="217"/>
      <c r="AB14" s="217"/>
      <c r="AC14" s="217"/>
      <c r="AD14" s="214"/>
      <c r="AE14" s="218"/>
      <c r="AF14" s="218"/>
      <c r="AG14" s="218"/>
      <c r="AH14" s="218"/>
      <c r="AI14" s="218"/>
      <c r="AJ14" s="218"/>
      <c r="AK14" s="218"/>
      <c r="AL14" s="218"/>
      <c r="AM14" s="218"/>
      <c r="AN14" s="218"/>
      <c r="AO14" s="218"/>
      <c r="AP14" s="487">
        <f t="shared" si="12"/>
        <v>0</v>
      </c>
      <c r="AQ14" s="5">
        <f>'t1'!AK14</f>
        <v>0</v>
      </c>
    </row>
    <row r="15" spans="1:43" ht="12.75" customHeight="1">
      <c r="A15" s="158" t="str">
        <f>'t1'!A15</f>
        <v>POSIZIONE ECONOMICA B4</v>
      </c>
      <c r="B15" s="230" t="str">
        <f>'t1'!B15</f>
        <v>036000</v>
      </c>
      <c r="C15" s="921">
        <f t="shared" si="13"/>
        <v>0</v>
      </c>
      <c r="D15" s="921">
        <f t="shared" si="0"/>
        <v>0</v>
      </c>
      <c r="E15" s="921">
        <f t="shared" si="1"/>
        <v>0</v>
      </c>
      <c r="F15" s="921">
        <f t="shared" si="1"/>
        <v>0</v>
      </c>
      <c r="G15" s="922">
        <f t="shared" si="2"/>
        <v>0</v>
      </c>
      <c r="H15" s="922">
        <f t="shared" si="3"/>
        <v>0</v>
      </c>
      <c r="I15" s="922">
        <f t="shared" si="4"/>
        <v>0</v>
      </c>
      <c r="J15" s="922">
        <f t="shared" si="4"/>
        <v>0</v>
      </c>
      <c r="K15" s="922">
        <f t="shared" si="5"/>
        <v>0</v>
      </c>
      <c r="L15" s="922">
        <f t="shared" si="6"/>
        <v>0</v>
      </c>
      <c r="M15" s="922">
        <f t="shared" si="7"/>
        <v>0</v>
      </c>
      <c r="N15" s="922">
        <f t="shared" si="7"/>
        <v>0</v>
      </c>
      <c r="O15" s="922">
        <f t="shared" si="8"/>
        <v>0</v>
      </c>
      <c r="P15" s="922">
        <f t="shared" si="9"/>
        <v>0</v>
      </c>
      <c r="Q15" s="922">
        <f t="shared" si="10"/>
        <v>0</v>
      </c>
      <c r="R15" s="487">
        <f t="shared" si="11"/>
        <v>0</v>
      </c>
      <c r="S15" s="5">
        <f>'t1'!M15</f>
        <v>0</v>
      </c>
      <c r="AA15" s="217"/>
      <c r="AB15" s="217"/>
      <c r="AC15" s="217"/>
      <c r="AD15" s="214"/>
      <c r="AE15" s="218"/>
      <c r="AF15" s="218"/>
      <c r="AG15" s="218"/>
      <c r="AH15" s="218"/>
      <c r="AI15" s="218"/>
      <c r="AJ15" s="218"/>
      <c r="AK15" s="218"/>
      <c r="AL15" s="218"/>
      <c r="AM15" s="218"/>
      <c r="AN15" s="218"/>
      <c r="AO15" s="218"/>
      <c r="AP15" s="487">
        <f t="shared" si="12"/>
        <v>0</v>
      </c>
      <c r="AQ15" s="5">
        <f>'t1'!AK15</f>
        <v>0</v>
      </c>
    </row>
    <row r="16" spans="1:43" ht="12.75" customHeight="1">
      <c r="A16" s="158" t="str">
        <f>'t1'!A16</f>
        <v>POSIZIONE ECONOMICA B3</v>
      </c>
      <c r="B16" s="230" t="str">
        <f>'t1'!B16</f>
        <v>034000</v>
      </c>
      <c r="C16" s="921">
        <f t="shared" si="13"/>
        <v>0</v>
      </c>
      <c r="D16" s="921">
        <f t="shared" si="0"/>
        <v>0</v>
      </c>
      <c r="E16" s="921">
        <f t="shared" si="1"/>
        <v>0</v>
      </c>
      <c r="F16" s="921">
        <f t="shared" si="1"/>
        <v>0</v>
      </c>
      <c r="G16" s="921">
        <f t="shared" si="2"/>
        <v>0</v>
      </c>
      <c r="H16" s="922">
        <f t="shared" si="3"/>
        <v>0</v>
      </c>
      <c r="I16" s="922">
        <f t="shared" si="4"/>
        <v>0</v>
      </c>
      <c r="J16" s="922">
        <f t="shared" si="4"/>
        <v>0</v>
      </c>
      <c r="K16" s="922">
        <f t="shared" si="5"/>
        <v>0</v>
      </c>
      <c r="L16" s="922">
        <f t="shared" si="6"/>
        <v>0</v>
      </c>
      <c r="M16" s="922">
        <f t="shared" si="7"/>
        <v>0</v>
      </c>
      <c r="N16" s="922">
        <f t="shared" si="7"/>
        <v>0</v>
      </c>
      <c r="O16" s="922">
        <f t="shared" si="8"/>
        <v>0</v>
      </c>
      <c r="P16" s="922">
        <f t="shared" si="9"/>
        <v>0</v>
      </c>
      <c r="Q16" s="922">
        <f t="shared" si="10"/>
        <v>0</v>
      </c>
      <c r="R16" s="487">
        <f t="shared" si="11"/>
        <v>0</v>
      </c>
      <c r="S16" s="5">
        <f>'t1'!M16</f>
        <v>0</v>
      </c>
      <c r="AA16" s="217"/>
      <c r="AB16" s="217"/>
      <c r="AC16" s="217"/>
      <c r="AD16" s="217"/>
      <c r="AE16" s="217"/>
      <c r="AF16" s="218"/>
      <c r="AG16" s="218"/>
      <c r="AH16" s="218"/>
      <c r="AI16" s="218"/>
      <c r="AJ16" s="218"/>
      <c r="AK16" s="218"/>
      <c r="AL16" s="218"/>
      <c r="AM16" s="218"/>
      <c r="AN16" s="218"/>
      <c r="AO16" s="218"/>
      <c r="AP16" s="487">
        <f t="shared" si="12"/>
        <v>0</v>
      </c>
      <c r="AQ16" s="5">
        <f>'t1'!AK16</f>
        <v>0</v>
      </c>
    </row>
    <row r="17" spans="1:43" ht="12.75" customHeight="1">
      <c r="A17" s="158" t="str">
        <f>'t1'!A17</f>
        <v>POSIZIONE ECONOMICA B2</v>
      </c>
      <c r="B17" s="230" t="str">
        <f>'t1'!B17</f>
        <v>032000</v>
      </c>
      <c r="C17" s="921">
        <f t="shared" si="13"/>
        <v>0</v>
      </c>
      <c r="D17" s="921">
        <f t="shared" si="0"/>
        <v>0</v>
      </c>
      <c r="E17" s="921">
        <f t="shared" si="1"/>
        <v>0</v>
      </c>
      <c r="F17" s="921">
        <f t="shared" si="1"/>
        <v>0</v>
      </c>
      <c r="G17" s="921">
        <f t="shared" si="2"/>
        <v>0</v>
      </c>
      <c r="H17" s="922">
        <f t="shared" si="3"/>
        <v>0</v>
      </c>
      <c r="I17" s="922">
        <f t="shared" si="4"/>
        <v>0</v>
      </c>
      <c r="J17" s="922">
        <f t="shared" si="4"/>
        <v>0</v>
      </c>
      <c r="K17" s="922">
        <f t="shared" si="5"/>
        <v>0</v>
      </c>
      <c r="L17" s="922">
        <f t="shared" si="6"/>
        <v>0</v>
      </c>
      <c r="M17" s="922">
        <f t="shared" si="7"/>
        <v>0</v>
      </c>
      <c r="N17" s="922">
        <f t="shared" si="7"/>
        <v>0</v>
      </c>
      <c r="O17" s="922">
        <f t="shared" si="8"/>
        <v>0</v>
      </c>
      <c r="P17" s="922">
        <f t="shared" si="9"/>
        <v>0</v>
      </c>
      <c r="Q17" s="922">
        <f t="shared" si="10"/>
        <v>0</v>
      </c>
      <c r="R17" s="487">
        <f t="shared" si="11"/>
        <v>0</v>
      </c>
      <c r="S17" s="5">
        <f>'t1'!M17</f>
        <v>0</v>
      </c>
      <c r="AA17" s="217"/>
      <c r="AB17" s="217"/>
      <c r="AC17" s="217"/>
      <c r="AD17" s="217"/>
      <c r="AE17" s="217"/>
      <c r="AF17" s="218"/>
      <c r="AG17" s="218"/>
      <c r="AH17" s="218"/>
      <c r="AI17" s="218"/>
      <c r="AJ17" s="218"/>
      <c r="AK17" s="218"/>
      <c r="AL17" s="218"/>
      <c r="AM17" s="218"/>
      <c r="AN17" s="218"/>
      <c r="AO17" s="218"/>
      <c r="AP17" s="487">
        <f t="shared" si="12"/>
        <v>0</v>
      </c>
      <c r="AQ17" s="5">
        <f>'t1'!AK17</f>
        <v>0</v>
      </c>
    </row>
    <row r="18" spans="1:43" ht="12.75" customHeight="1">
      <c r="A18" s="158" t="str">
        <f>'t1'!A18</f>
        <v>POSIZIONE ECONOMICA B1</v>
      </c>
      <c r="B18" s="230" t="str">
        <f>'t1'!B18</f>
        <v>030000</v>
      </c>
      <c r="C18" s="921">
        <f t="shared" si="13"/>
        <v>0</v>
      </c>
      <c r="D18" s="921">
        <f t="shared" si="0"/>
        <v>0</v>
      </c>
      <c r="E18" s="921">
        <f t="shared" si="1"/>
        <v>0</v>
      </c>
      <c r="F18" s="921">
        <f t="shared" si="1"/>
        <v>0</v>
      </c>
      <c r="G18" s="921">
        <f t="shared" si="2"/>
        <v>0</v>
      </c>
      <c r="H18" s="922">
        <f t="shared" si="3"/>
        <v>0</v>
      </c>
      <c r="I18" s="922">
        <f t="shared" si="4"/>
        <v>0</v>
      </c>
      <c r="J18" s="922">
        <f t="shared" si="4"/>
        <v>0</v>
      </c>
      <c r="K18" s="922">
        <f t="shared" si="5"/>
        <v>0</v>
      </c>
      <c r="L18" s="922">
        <f t="shared" si="6"/>
        <v>0</v>
      </c>
      <c r="M18" s="922">
        <f t="shared" si="7"/>
        <v>0</v>
      </c>
      <c r="N18" s="922">
        <f t="shared" si="7"/>
        <v>0</v>
      </c>
      <c r="O18" s="922">
        <f t="shared" si="8"/>
        <v>0</v>
      </c>
      <c r="P18" s="922">
        <f t="shared" si="9"/>
        <v>0</v>
      </c>
      <c r="Q18" s="922">
        <f t="shared" si="10"/>
        <v>0</v>
      </c>
      <c r="R18" s="487">
        <f t="shared" si="11"/>
        <v>0</v>
      </c>
      <c r="S18" s="5">
        <f>'t1'!M18</f>
        <v>0</v>
      </c>
      <c r="AA18" s="217"/>
      <c r="AB18" s="217"/>
      <c r="AC18" s="217"/>
      <c r="AD18" s="217"/>
      <c r="AE18" s="217"/>
      <c r="AF18" s="218"/>
      <c r="AG18" s="218"/>
      <c r="AH18" s="218"/>
      <c r="AI18" s="218"/>
      <c r="AJ18" s="218"/>
      <c r="AK18" s="218"/>
      <c r="AL18" s="218"/>
      <c r="AM18" s="218"/>
      <c r="AN18" s="218"/>
      <c r="AO18" s="218"/>
      <c r="AP18" s="487">
        <f t="shared" si="12"/>
        <v>0</v>
      </c>
      <c r="AQ18" s="5">
        <f>'t1'!AK18</f>
        <v>0</v>
      </c>
    </row>
    <row r="19" spans="1:43" ht="12.75" customHeight="1">
      <c r="A19" s="158" t="str">
        <f>'t1'!A19</f>
        <v>POSIZIONE ECONOMICA A3</v>
      </c>
      <c r="B19" s="230" t="str">
        <f>'t1'!B19</f>
        <v>027000</v>
      </c>
      <c r="C19" s="921">
        <f t="shared" si="13"/>
        <v>0</v>
      </c>
      <c r="D19" s="921">
        <f t="shared" si="0"/>
        <v>0</v>
      </c>
      <c r="E19" s="921">
        <f t="shared" si="1"/>
        <v>0</v>
      </c>
      <c r="F19" s="921">
        <f t="shared" si="1"/>
        <v>0</v>
      </c>
      <c r="G19" s="921">
        <f t="shared" si="2"/>
        <v>0</v>
      </c>
      <c r="H19" s="922">
        <f t="shared" si="3"/>
        <v>0</v>
      </c>
      <c r="I19" s="922">
        <f t="shared" si="4"/>
        <v>0</v>
      </c>
      <c r="J19" s="922">
        <f t="shared" si="4"/>
        <v>0</v>
      </c>
      <c r="K19" s="922">
        <f t="shared" si="5"/>
        <v>0</v>
      </c>
      <c r="L19" s="922">
        <f t="shared" si="6"/>
        <v>0</v>
      </c>
      <c r="M19" s="922">
        <f t="shared" si="7"/>
        <v>0</v>
      </c>
      <c r="N19" s="922">
        <f t="shared" si="7"/>
        <v>0</v>
      </c>
      <c r="O19" s="922">
        <f t="shared" si="8"/>
        <v>0</v>
      </c>
      <c r="P19" s="922">
        <f t="shared" si="9"/>
        <v>0</v>
      </c>
      <c r="Q19" s="922">
        <f t="shared" si="10"/>
        <v>0</v>
      </c>
      <c r="R19" s="487">
        <f t="shared" si="11"/>
        <v>0</v>
      </c>
      <c r="S19" s="5">
        <f>'t1'!M19</f>
        <v>0</v>
      </c>
      <c r="AA19" s="217"/>
      <c r="AB19" s="217"/>
      <c r="AC19" s="217"/>
      <c r="AD19" s="217"/>
      <c r="AE19" s="217"/>
      <c r="AF19" s="218"/>
      <c r="AG19" s="218"/>
      <c r="AH19" s="218"/>
      <c r="AI19" s="218"/>
      <c r="AJ19" s="218"/>
      <c r="AK19" s="218"/>
      <c r="AL19" s="218"/>
      <c r="AM19" s="218"/>
      <c r="AN19" s="218"/>
      <c r="AO19" s="218"/>
      <c r="AP19" s="487">
        <f t="shared" si="12"/>
        <v>0</v>
      </c>
      <c r="AQ19" s="5">
        <f>'t1'!AK19</f>
        <v>0</v>
      </c>
    </row>
    <row r="20" spans="1:43" ht="12.75" customHeight="1">
      <c r="A20" s="158" t="str">
        <f>'t1'!A20</f>
        <v>POSIZIONE ECONOMICA A2</v>
      </c>
      <c r="B20" s="230" t="str">
        <f>'t1'!B20</f>
        <v>025000</v>
      </c>
      <c r="C20" s="921">
        <f t="shared" si="13"/>
        <v>0</v>
      </c>
      <c r="D20" s="921">
        <f t="shared" si="0"/>
        <v>0</v>
      </c>
      <c r="E20" s="921">
        <f t="shared" si="1"/>
        <v>0</v>
      </c>
      <c r="F20" s="921">
        <f t="shared" si="1"/>
        <v>0</v>
      </c>
      <c r="G20" s="922">
        <f t="shared" si="2"/>
        <v>0</v>
      </c>
      <c r="H20" s="922">
        <f t="shared" si="3"/>
        <v>0</v>
      </c>
      <c r="I20" s="922">
        <f t="shared" si="4"/>
        <v>0</v>
      </c>
      <c r="J20" s="922">
        <f t="shared" si="4"/>
        <v>0</v>
      </c>
      <c r="K20" s="922">
        <f t="shared" si="5"/>
        <v>0</v>
      </c>
      <c r="L20" s="922">
        <f t="shared" si="6"/>
        <v>0</v>
      </c>
      <c r="M20" s="922">
        <f t="shared" si="7"/>
        <v>0</v>
      </c>
      <c r="N20" s="922">
        <f t="shared" si="7"/>
        <v>0</v>
      </c>
      <c r="O20" s="922">
        <f t="shared" si="8"/>
        <v>0</v>
      </c>
      <c r="P20" s="922">
        <f t="shared" si="9"/>
        <v>0</v>
      </c>
      <c r="Q20" s="922">
        <f t="shared" si="10"/>
        <v>0</v>
      </c>
      <c r="R20" s="487">
        <f t="shared" si="11"/>
        <v>0</v>
      </c>
      <c r="S20" s="5">
        <f>'t1'!M20</f>
        <v>0</v>
      </c>
      <c r="AA20" s="217"/>
      <c r="AB20" s="217"/>
      <c r="AC20" s="217"/>
      <c r="AD20" s="214"/>
      <c r="AE20" s="218"/>
      <c r="AF20" s="218"/>
      <c r="AG20" s="218"/>
      <c r="AH20" s="218"/>
      <c r="AI20" s="218"/>
      <c r="AJ20" s="218"/>
      <c r="AK20" s="218"/>
      <c r="AL20" s="218"/>
      <c r="AM20" s="218"/>
      <c r="AN20" s="218"/>
      <c r="AO20" s="218"/>
      <c r="AP20" s="487">
        <f t="shared" si="12"/>
        <v>0</v>
      </c>
      <c r="AQ20" s="5">
        <f>'t1'!AK20</f>
        <v>0</v>
      </c>
    </row>
    <row r="21" spans="1:43" ht="12.75" customHeight="1">
      <c r="A21" s="158" t="str">
        <f>'t1'!A21</f>
        <v>POSIZIONE ECONOMICA A1</v>
      </c>
      <c r="B21" s="230" t="str">
        <f>'t1'!B21</f>
        <v>023000</v>
      </c>
      <c r="C21" s="921">
        <f t="shared" si="13"/>
        <v>0</v>
      </c>
      <c r="D21" s="921">
        <f t="shared" si="0"/>
        <v>0</v>
      </c>
      <c r="E21" s="921">
        <f t="shared" si="1"/>
        <v>0</v>
      </c>
      <c r="F21" s="921">
        <f t="shared" si="1"/>
        <v>0</v>
      </c>
      <c r="G21" s="922">
        <f t="shared" si="2"/>
        <v>0</v>
      </c>
      <c r="H21" s="922">
        <f t="shared" si="3"/>
        <v>0</v>
      </c>
      <c r="I21" s="922">
        <f t="shared" si="4"/>
        <v>0</v>
      </c>
      <c r="J21" s="922">
        <f t="shared" si="4"/>
        <v>0</v>
      </c>
      <c r="K21" s="922">
        <f t="shared" si="5"/>
        <v>0</v>
      </c>
      <c r="L21" s="922">
        <f t="shared" si="6"/>
        <v>0</v>
      </c>
      <c r="M21" s="922">
        <f t="shared" si="7"/>
        <v>0</v>
      </c>
      <c r="N21" s="922">
        <f t="shared" si="7"/>
        <v>0</v>
      </c>
      <c r="O21" s="922">
        <f t="shared" si="8"/>
        <v>0</v>
      </c>
      <c r="P21" s="922">
        <f t="shared" si="9"/>
        <v>0</v>
      </c>
      <c r="Q21" s="922">
        <f t="shared" si="10"/>
        <v>0</v>
      </c>
      <c r="R21" s="487">
        <f t="shared" si="11"/>
        <v>0</v>
      </c>
      <c r="S21" s="5">
        <f>'t1'!M21</f>
        <v>0</v>
      </c>
      <c r="AA21" s="217"/>
      <c r="AB21" s="217"/>
      <c r="AC21" s="217"/>
      <c r="AD21" s="214"/>
      <c r="AE21" s="218"/>
      <c r="AF21" s="218"/>
      <c r="AG21" s="218"/>
      <c r="AH21" s="218"/>
      <c r="AI21" s="218"/>
      <c r="AJ21" s="218"/>
      <c r="AK21" s="218"/>
      <c r="AL21" s="218"/>
      <c r="AM21" s="218"/>
      <c r="AN21" s="218"/>
      <c r="AO21" s="218"/>
      <c r="AP21" s="487">
        <f t="shared" si="12"/>
        <v>0</v>
      </c>
      <c r="AQ21" s="5">
        <f>'t1'!AK21</f>
        <v>0</v>
      </c>
    </row>
    <row r="22" spans="1:43" ht="12.75" customHeight="1" thickBot="1">
      <c r="A22" s="158" t="str">
        <f>'t1'!A22</f>
        <v>CONTRATTISTI (a)</v>
      </c>
      <c r="B22" s="230" t="str">
        <f>'t1'!B22</f>
        <v>000061</v>
      </c>
      <c r="C22" s="921">
        <f t="shared" si="13"/>
        <v>0</v>
      </c>
      <c r="D22" s="921">
        <f t="shared" si="0"/>
        <v>0</v>
      </c>
      <c r="E22" s="921">
        <f t="shared" si="1"/>
        <v>0</v>
      </c>
      <c r="F22" s="921">
        <f t="shared" si="1"/>
        <v>0</v>
      </c>
      <c r="G22" s="922">
        <f t="shared" si="2"/>
        <v>0</v>
      </c>
      <c r="H22" s="922">
        <f t="shared" si="3"/>
        <v>0</v>
      </c>
      <c r="I22" s="922">
        <f t="shared" si="4"/>
        <v>0</v>
      </c>
      <c r="J22" s="922">
        <f t="shared" si="4"/>
        <v>0</v>
      </c>
      <c r="K22" s="922">
        <f t="shared" si="5"/>
        <v>0</v>
      </c>
      <c r="L22" s="922">
        <f t="shared" si="6"/>
        <v>0</v>
      </c>
      <c r="M22" s="922">
        <f t="shared" si="7"/>
        <v>0</v>
      </c>
      <c r="N22" s="922">
        <f t="shared" si="7"/>
        <v>0</v>
      </c>
      <c r="O22" s="922">
        <f t="shared" si="8"/>
        <v>0</v>
      </c>
      <c r="P22" s="922">
        <f t="shared" si="9"/>
        <v>0</v>
      </c>
      <c r="Q22" s="922">
        <f t="shared" si="10"/>
        <v>0</v>
      </c>
      <c r="R22" s="487">
        <f t="shared" si="11"/>
        <v>0</v>
      </c>
      <c r="S22" s="5">
        <f>'t1'!M22</f>
        <v>0</v>
      </c>
      <c r="AA22" s="217"/>
      <c r="AB22" s="217"/>
      <c r="AC22" s="217"/>
      <c r="AD22" s="214"/>
      <c r="AE22" s="218"/>
      <c r="AF22" s="218"/>
      <c r="AG22" s="218"/>
      <c r="AH22" s="218"/>
      <c r="AI22" s="218"/>
      <c r="AJ22" s="218"/>
      <c r="AK22" s="218"/>
      <c r="AL22" s="218"/>
      <c r="AM22" s="218"/>
      <c r="AN22" s="218"/>
      <c r="AO22" s="218"/>
      <c r="AP22" s="487">
        <f t="shared" si="12"/>
        <v>0</v>
      </c>
      <c r="AQ22" s="5">
        <f>'t1'!AK22</f>
        <v>0</v>
      </c>
    </row>
    <row r="23" spans="1:42" ht="15" customHeight="1" thickBot="1" thickTop="1">
      <c r="A23" s="168" t="s">
        <v>77</v>
      </c>
      <c r="B23" s="126"/>
      <c r="C23" s="486">
        <f aca="true" t="shared" si="14" ref="C23:R23">SUM(C6:C22)</f>
        <v>0</v>
      </c>
      <c r="D23" s="486">
        <f t="shared" si="14"/>
        <v>0</v>
      </c>
      <c r="E23" s="486">
        <f t="shared" si="14"/>
        <v>0</v>
      </c>
      <c r="F23" s="486">
        <f t="shared" si="14"/>
        <v>0</v>
      </c>
      <c r="G23" s="486">
        <f t="shared" si="14"/>
        <v>0</v>
      </c>
      <c r="H23" s="486">
        <f t="shared" si="14"/>
        <v>0</v>
      </c>
      <c r="I23" s="486">
        <f t="shared" si="14"/>
        <v>0</v>
      </c>
      <c r="J23" s="486">
        <f>SUM(J6:J22)</f>
        <v>0</v>
      </c>
      <c r="K23" s="486">
        <f t="shared" si="14"/>
        <v>0</v>
      </c>
      <c r="L23" s="486"/>
      <c r="M23" s="486">
        <f t="shared" si="14"/>
        <v>0</v>
      </c>
      <c r="N23" s="486">
        <f>SUM(N6:N22)</f>
        <v>0</v>
      </c>
      <c r="O23" s="486">
        <f t="shared" si="14"/>
        <v>0</v>
      </c>
      <c r="P23" s="486">
        <f t="shared" si="14"/>
        <v>0</v>
      </c>
      <c r="Q23" s="486">
        <f t="shared" si="14"/>
        <v>0</v>
      </c>
      <c r="R23" s="484">
        <f t="shared" si="14"/>
        <v>0</v>
      </c>
      <c r="AA23" s="486">
        <f aca="true" t="shared" si="15" ref="AA23:AI23">SUM(AA6:AA22)</f>
        <v>0</v>
      </c>
      <c r="AB23" s="486">
        <f t="shared" si="15"/>
        <v>0</v>
      </c>
      <c r="AC23" s="486">
        <f t="shared" si="15"/>
        <v>0</v>
      </c>
      <c r="AD23" s="486">
        <f t="shared" si="15"/>
        <v>0</v>
      </c>
      <c r="AE23" s="486">
        <f t="shared" si="15"/>
        <v>0</v>
      </c>
      <c r="AF23" s="486">
        <f t="shared" si="15"/>
        <v>0</v>
      </c>
      <c r="AG23" s="486">
        <f t="shared" si="15"/>
        <v>0</v>
      </c>
      <c r="AH23" s="486">
        <f t="shared" si="15"/>
        <v>0</v>
      </c>
      <c r="AI23" s="486">
        <f t="shared" si="15"/>
        <v>0</v>
      </c>
      <c r="AJ23" s="486">
        <f aca="true" t="shared" si="16" ref="AJ23:AP23">SUM(AJ6:AJ22)</f>
        <v>0</v>
      </c>
      <c r="AK23" s="486">
        <f t="shared" si="16"/>
        <v>0</v>
      </c>
      <c r="AL23" s="486">
        <f t="shared" si="16"/>
        <v>0</v>
      </c>
      <c r="AM23" s="486">
        <f t="shared" si="16"/>
        <v>0</v>
      </c>
      <c r="AN23" s="486">
        <f t="shared" si="16"/>
        <v>0</v>
      </c>
      <c r="AO23" s="486">
        <f t="shared" si="16"/>
        <v>0</v>
      </c>
      <c r="AP23" s="484">
        <f t="shared" si="16"/>
        <v>0</v>
      </c>
    </row>
    <row r="24" spans="1:45" ht="9.75">
      <c r="A24" s="26" t="str">
        <f>'t1'!$A$24</f>
        <v>(a) personale a tempo indeterminato al quale viene applicato un contratto di lavoro di tipo privatistico (es.:tipografico,chimico,edile,metalmeccanico,portierato, ecc.)</v>
      </c>
      <c r="R24" s="46"/>
      <c r="S24" s="46"/>
      <c r="T24" s="46"/>
      <c r="U24" s="46"/>
      <c r="V24" s="46"/>
      <c r="AP24" s="46"/>
      <c r="AQ24" s="46"/>
      <c r="AR24" s="46"/>
      <c r="AS24" s="46"/>
    </row>
    <row r="25" ht="9.75">
      <c r="A25" s="26"/>
    </row>
    <row r="26" spans="1:45" ht="9.75">
      <c r="A26" s="5" t="s">
        <v>187</v>
      </c>
      <c r="B26" s="63"/>
      <c r="C26" s="61"/>
      <c r="D26" s="61"/>
      <c r="E26" s="61"/>
      <c r="F26" s="61"/>
      <c r="G26" s="61"/>
      <c r="H26" s="61"/>
      <c r="I26" s="61"/>
      <c r="J26" s="61"/>
      <c r="K26" s="61"/>
      <c r="L26" s="61"/>
      <c r="M26" s="61"/>
      <c r="N26" s="61"/>
      <c r="O26" s="61"/>
      <c r="P26" s="61"/>
      <c r="Q26" s="61"/>
      <c r="R26" s="61"/>
      <c r="S26" s="61"/>
      <c r="T26" s="61"/>
      <c r="U26" s="61"/>
      <c r="V26" s="61"/>
      <c r="AA26" s="61"/>
      <c r="AB26" s="61"/>
      <c r="AC26" s="61"/>
      <c r="AD26" s="61"/>
      <c r="AE26" s="61"/>
      <c r="AF26" s="61"/>
      <c r="AG26" s="61"/>
      <c r="AH26" s="61"/>
      <c r="AI26" s="61"/>
      <c r="AJ26" s="61"/>
      <c r="AK26" s="61"/>
      <c r="AL26" s="61"/>
      <c r="AM26" s="61"/>
      <c r="AN26" s="61"/>
      <c r="AO26" s="61"/>
      <c r="AP26" s="61"/>
      <c r="AQ26" s="61"/>
      <c r="AR26" s="61"/>
      <c r="AS26" s="61"/>
    </row>
    <row r="27" ht="9.75">
      <c r="A27" s="160"/>
    </row>
    <row r="28" ht="9.75">
      <c r="A28" s="160"/>
    </row>
    <row r="29" ht="9.75">
      <c r="A29" s="3"/>
    </row>
  </sheetData>
  <sheetProtection password="EA98" sheet="1" formatColumns="0" selectLockedCells="1"/>
  <mergeCells count="1">
    <mergeCell ref="A1:AP1"/>
  </mergeCells>
  <conditionalFormatting sqref="AA6:AP22 A6:R22">
    <cfRule type="expression" priority="2" dxfId="3" stopIfTrue="1">
      <formula>$S6&gt;0</formula>
    </cfRule>
  </conditionalFormatting>
  <dataValidations count="1">
    <dataValidation type="whole" allowBlank="1" showInputMessage="1" showErrorMessage="1" errorTitle="ERRORE NEL DATO IMMESSO" error="INSERIRE SOLO NUMERI INTERI" sqref="AA6:AO22">
      <formula1>1</formula1>
      <formula2>999999999999</formula2>
    </dataValidation>
  </dataValidations>
  <printOptions horizontalCentered="1" verticalCentered="1"/>
  <pageMargins left="0" right="0" top="0.15748031496062992" bottom="0.15748031496062992" header="0.1968503937007874" footer="0.1968503937007874"/>
  <pageSetup horizontalDpi="300" verticalDpi="300" orientation="landscape" paperSize="9" scale="75" r:id="rId2"/>
  <drawing r:id="rId1"/>
</worksheet>
</file>

<file path=xl/worksheets/sheet17.xml><?xml version="1.0" encoding="utf-8"?>
<worksheet xmlns="http://schemas.openxmlformats.org/spreadsheetml/2006/main" xmlns:r="http://schemas.openxmlformats.org/officeDocument/2006/relationships">
  <sheetPr codeName="Foglio21"/>
  <dimension ref="A1:N53"/>
  <sheetViews>
    <sheetView showGridLines="0" zoomScalePageLayoutView="0" workbookViewId="0" topLeftCell="A1">
      <pane ySplit="3" topLeftCell="A4" activePane="bottomLeft" state="frozen"/>
      <selection pane="topLeft" activeCell="A2" sqref="A2"/>
      <selection pane="bottomLeft" activeCell="D4" sqref="D4"/>
    </sheetView>
  </sheetViews>
  <sheetFormatPr defaultColWidth="9.33203125" defaultRowHeight="10.5"/>
  <cols>
    <col min="1" max="1" width="87.83203125" style="0" customWidth="1"/>
    <col min="2" max="2" width="18" style="0" customWidth="1"/>
    <col min="3" max="3" width="18" style="0" hidden="1" customWidth="1"/>
    <col min="4" max="4" width="22.33203125" style="0" customWidth="1"/>
    <col min="6" max="6" width="12.5" style="0" bestFit="1" customWidth="1"/>
    <col min="7" max="7" width="0" style="0" hidden="1" customWidth="1"/>
  </cols>
  <sheetData>
    <row r="1" spans="1:14" s="5" customFormat="1" ht="43.5" customHeight="1">
      <c r="A1" s="1349" t="str">
        <f>'t1'!A1</f>
        <v>CNEL - anno 2018</v>
      </c>
      <c r="B1" s="1349"/>
      <c r="C1" s="1349"/>
      <c r="D1" s="1349"/>
      <c r="E1" s="3"/>
      <c r="F1" s="3"/>
      <c r="G1" s="3"/>
      <c r="H1" s="4"/>
      <c r="I1" s="3"/>
      <c r="J1" s="3"/>
      <c r="K1" s="3"/>
      <c r="L1" s="3"/>
      <c r="N1"/>
    </row>
    <row r="2" spans="1:4" ht="30" customHeight="1" thickBot="1">
      <c r="A2" s="6"/>
      <c r="B2" s="1405">
        <f>IF(AND(A32="",(D25+D26+D27+D28+D29)&gt;0),"ATTENZIONE!  Inserire nel campo NOTE l'elenco delle Istituzioni ed il relativo importo dei rimborsi",IF(AND(A32&lt;&gt;"",(D25+D26+D27+D28+D29)=0),"ATTENZIONE!  il campo NOTE non deve essere compilato in assenza di rimborsi",""))</f>
      </c>
      <c r="C2" s="1405"/>
      <c r="D2" s="1405"/>
    </row>
    <row r="3" spans="1:4" ht="21.75" customHeight="1" thickBot="1">
      <c r="A3" s="114" t="s">
        <v>132</v>
      </c>
      <c r="B3" s="299" t="s">
        <v>105</v>
      </c>
      <c r="C3" s="923"/>
      <c r="D3" s="300" t="s">
        <v>107</v>
      </c>
    </row>
    <row r="4" spans="1:4" s="116" customFormat="1" ht="23.25" customHeight="1" thickTop="1">
      <c r="A4" s="115" t="s">
        <v>155</v>
      </c>
      <c r="B4" s="175" t="s">
        <v>159</v>
      </c>
      <c r="C4" s="924">
        <f>ROUND(D4,0)</f>
        <v>0</v>
      </c>
      <c r="D4" s="219"/>
    </row>
    <row r="5" spans="1:4" s="116" customFormat="1" ht="23.25" customHeight="1">
      <c r="A5" s="119" t="s">
        <v>392</v>
      </c>
      <c r="B5" s="176" t="s">
        <v>171</v>
      </c>
      <c r="C5" s="925">
        <f aca="true" t="shared" si="0" ref="C5:C29">ROUND(D5,0)</f>
        <v>0</v>
      </c>
      <c r="D5" s="219"/>
    </row>
    <row r="6" spans="1:4" s="116" customFormat="1" ht="23.25" customHeight="1">
      <c r="A6" s="119" t="s">
        <v>149</v>
      </c>
      <c r="B6" s="165" t="s">
        <v>172</v>
      </c>
      <c r="C6" s="924">
        <f t="shared" si="0"/>
        <v>0</v>
      </c>
      <c r="D6" s="219"/>
    </row>
    <row r="7" spans="1:4" s="116" customFormat="1" ht="23.25" customHeight="1">
      <c r="A7" s="119" t="s">
        <v>153</v>
      </c>
      <c r="B7" s="177" t="s">
        <v>173</v>
      </c>
      <c r="C7" s="925">
        <f t="shared" si="0"/>
        <v>0</v>
      </c>
      <c r="D7" s="219"/>
    </row>
    <row r="8" spans="1:4" s="116" customFormat="1" ht="23.25" customHeight="1">
      <c r="A8" s="120" t="s">
        <v>152</v>
      </c>
      <c r="B8" s="165" t="s">
        <v>174</v>
      </c>
      <c r="C8" s="924">
        <f t="shared" si="0"/>
        <v>0</v>
      </c>
      <c r="D8" s="219"/>
    </row>
    <row r="9" spans="1:4" s="116" customFormat="1" ht="23.25" customHeight="1">
      <c r="A9" s="143" t="s">
        <v>151</v>
      </c>
      <c r="B9" s="177" t="s">
        <v>175</v>
      </c>
      <c r="C9" s="925">
        <f t="shared" si="0"/>
        <v>0</v>
      </c>
      <c r="D9" s="220"/>
    </row>
    <row r="10" spans="1:4" s="116" customFormat="1" ht="23.25" customHeight="1">
      <c r="A10" s="178" t="s">
        <v>393</v>
      </c>
      <c r="B10" s="165" t="s">
        <v>163</v>
      </c>
      <c r="C10" s="924">
        <f t="shared" si="0"/>
        <v>0</v>
      </c>
      <c r="D10" s="219"/>
    </row>
    <row r="11" spans="1:4" s="116" customFormat="1" ht="23.25" customHeight="1">
      <c r="A11" s="120" t="s">
        <v>176</v>
      </c>
      <c r="B11" s="164" t="s">
        <v>177</v>
      </c>
      <c r="C11" s="924">
        <f t="shared" si="0"/>
        <v>0</v>
      </c>
      <c r="D11" s="219"/>
    </row>
    <row r="12" spans="1:4" s="116" customFormat="1" ht="23.25" customHeight="1">
      <c r="A12" s="120" t="s">
        <v>52</v>
      </c>
      <c r="B12" s="164" t="s">
        <v>179</v>
      </c>
      <c r="C12" s="924">
        <f t="shared" si="0"/>
        <v>0</v>
      </c>
      <c r="D12" s="219"/>
    </row>
    <row r="13" spans="1:4" s="116" customFormat="1" ht="23.25" customHeight="1">
      <c r="A13" s="120" t="s">
        <v>394</v>
      </c>
      <c r="B13" s="165" t="s">
        <v>190</v>
      </c>
      <c r="C13" s="924">
        <f t="shared" si="0"/>
        <v>0</v>
      </c>
      <c r="D13" s="219"/>
    </row>
    <row r="14" spans="1:4" s="116" customFormat="1" ht="23.25" customHeight="1">
      <c r="A14" s="120" t="s">
        <v>2</v>
      </c>
      <c r="B14" s="165" t="s">
        <v>3</v>
      </c>
      <c r="C14" s="924">
        <f t="shared" si="0"/>
        <v>0</v>
      </c>
      <c r="D14" s="219"/>
    </row>
    <row r="15" spans="1:4" s="116" customFormat="1" ht="23.25" customHeight="1">
      <c r="A15" s="143" t="s">
        <v>109</v>
      </c>
      <c r="B15" s="177" t="s">
        <v>178</v>
      </c>
      <c r="C15" s="925">
        <f t="shared" si="0"/>
        <v>0</v>
      </c>
      <c r="D15" s="220"/>
    </row>
    <row r="16" spans="1:4" s="116" customFormat="1" ht="23.25" customHeight="1">
      <c r="A16" s="178" t="s">
        <v>395</v>
      </c>
      <c r="B16" s="176" t="s">
        <v>160</v>
      </c>
      <c r="C16" s="926">
        <f t="shared" si="0"/>
        <v>0</v>
      </c>
      <c r="D16" s="220"/>
    </row>
    <row r="17" spans="1:4" s="116" customFormat="1" ht="23.25" customHeight="1">
      <c r="A17" s="121" t="s">
        <v>396</v>
      </c>
      <c r="B17" s="165" t="s">
        <v>161</v>
      </c>
      <c r="C17" s="924">
        <f t="shared" si="0"/>
        <v>0</v>
      </c>
      <c r="D17" s="219"/>
    </row>
    <row r="18" spans="1:4" s="118" customFormat="1" ht="23.25" customHeight="1">
      <c r="A18" s="117" t="s">
        <v>150</v>
      </c>
      <c r="B18" s="164" t="s">
        <v>170</v>
      </c>
      <c r="C18" s="924">
        <f t="shared" si="0"/>
        <v>0</v>
      </c>
      <c r="D18" s="220"/>
    </row>
    <row r="19" spans="1:4" s="118" customFormat="1" ht="23.25" customHeight="1">
      <c r="A19" s="825" t="s">
        <v>610</v>
      </c>
      <c r="B19" s="826" t="s">
        <v>611</v>
      </c>
      <c r="C19" s="927">
        <f t="shared" si="0"/>
        <v>0</v>
      </c>
      <c r="D19" s="219"/>
    </row>
    <row r="20" spans="1:7" s="5" customFormat="1" ht="23.25" customHeight="1">
      <c r="A20" s="115" t="s">
        <v>397</v>
      </c>
      <c r="B20" s="165" t="s">
        <v>166</v>
      </c>
      <c r="C20" s="924">
        <f t="shared" si="0"/>
        <v>0</v>
      </c>
      <c r="D20" s="219"/>
      <c r="G20" s="827" t="s">
        <v>612</v>
      </c>
    </row>
    <row r="21" spans="1:7" s="118" customFormat="1" ht="23.25" customHeight="1">
      <c r="A21" s="115" t="s">
        <v>398</v>
      </c>
      <c r="B21" s="177" t="s">
        <v>167</v>
      </c>
      <c r="C21" s="925">
        <f t="shared" si="0"/>
        <v>0</v>
      </c>
      <c r="D21" s="219"/>
      <c r="G21" s="828" t="s">
        <v>613</v>
      </c>
    </row>
    <row r="22" spans="1:7" s="118" customFormat="1" ht="23.25" customHeight="1">
      <c r="A22" s="115" t="s">
        <v>108</v>
      </c>
      <c r="B22" s="165" t="s">
        <v>168</v>
      </c>
      <c r="C22" s="924">
        <f t="shared" si="0"/>
        <v>0</v>
      </c>
      <c r="D22" s="219"/>
      <c r="F22" s="829" t="s">
        <v>614</v>
      </c>
      <c r="G22" s="830">
        <v>2</v>
      </c>
    </row>
    <row r="23" spans="1:4" s="118" customFormat="1" ht="23.25" customHeight="1">
      <c r="A23" s="115" t="s">
        <v>399</v>
      </c>
      <c r="B23" s="177" t="s">
        <v>162</v>
      </c>
      <c r="C23" s="925">
        <f t="shared" si="0"/>
        <v>0</v>
      </c>
      <c r="D23" s="219"/>
    </row>
    <row r="24" spans="1:4" s="118" customFormat="1" ht="23.25" customHeight="1">
      <c r="A24" s="846" t="s">
        <v>629</v>
      </c>
      <c r="B24" s="165" t="s">
        <v>164</v>
      </c>
      <c r="C24" s="928">
        <f t="shared" si="0"/>
        <v>0</v>
      </c>
      <c r="D24" s="221"/>
    </row>
    <row r="25" spans="1:4" s="118" customFormat="1" ht="23.25" customHeight="1">
      <c r="A25" s="179" t="s">
        <v>412</v>
      </c>
      <c r="B25" s="164" t="s">
        <v>165</v>
      </c>
      <c r="C25" s="929">
        <f t="shared" si="0"/>
        <v>0</v>
      </c>
      <c r="D25" s="221"/>
    </row>
    <row r="26" spans="1:4" s="118" customFormat="1" ht="23.25" customHeight="1">
      <c r="A26" s="179" t="s">
        <v>413</v>
      </c>
      <c r="B26" s="164" t="s">
        <v>414</v>
      </c>
      <c r="C26" s="929">
        <f t="shared" si="0"/>
        <v>0</v>
      </c>
      <c r="D26" s="221"/>
    </row>
    <row r="27" spans="1:4" s="118" customFormat="1" ht="23.25" customHeight="1">
      <c r="A27" s="697" t="s">
        <v>438</v>
      </c>
      <c r="B27" s="164" t="s">
        <v>400</v>
      </c>
      <c r="C27" s="929">
        <f t="shared" si="0"/>
        <v>0</v>
      </c>
      <c r="D27" s="221"/>
    </row>
    <row r="28" spans="1:4" s="118" customFormat="1" ht="23.25" customHeight="1">
      <c r="A28" s="696" t="s">
        <v>437</v>
      </c>
      <c r="B28" s="165" t="s">
        <v>169</v>
      </c>
      <c r="C28" s="930">
        <f t="shared" si="0"/>
        <v>0</v>
      </c>
      <c r="D28" s="220"/>
    </row>
    <row r="29" spans="1:4" s="118" customFormat="1" ht="23.25" customHeight="1" thickBot="1">
      <c r="A29" s="699" t="s">
        <v>439</v>
      </c>
      <c r="B29" s="166" t="s">
        <v>415</v>
      </c>
      <c r="C29" s="931">
        <f t="shared" si="0"/>
        <v>0</v>
      </c>
      <c r="D29" s="222"/>
    </row>
    <row r="30" spans="1:4" s="118" customFormat="1" ht="15" customHeight="1" thickBot="1">
      <c r="A30" s="1400" t="str">
        <f>IF(G22=1,"ATTENZIONE è stata dichiarata IRAP commerciale. Controllare l'importo inserito!"," ")</f>
        <v> </v>
      </c>
      <c r="B30" s="1400"/>
      <c r="C30" s="1400"/>
      <c r="D30" s="1400"/>
    </row>
    <row r="31" spans="1:4" s="118" customFormat="1" ht="15" customHeight="1">
      <c r="A31" s="1406" t="s">
        <v>600</v>
      </c>
      <c r="B31" s="1407"/>
      <c r="C31" s="1407"/>
      <c r="D31" s="1408"/>
    </row>
    <row r="32" spans="1:8" s="118" customFormat="1" ht="94.5" customHeight="1" thickBot="1">
      <c r="A32" s="1401"/>
      <c r="B32" s="1402"/>
      <c r="C32" s="1402"/>
      <c r="D32" s="1403"/>
      <c r="E32" s="1398">
        <f>IF(AND(A32="",(D25+D26)&gt;0),"ATTENZIONE!  Inserire nel campo NOTE l'elenco delle Istituzioni ed il relativo importo dei rimborsi EFFETTUATI!",IF(AND(A32&lt;&gt;"",(D25+D26)=0),"ATTENZIONE!  il campo NOTE non deve essere compilato in assenza di rimborsi",""))</f>
      </c>
      <c r="F32" s="1399"/>
      <c r="G32" s="1399"/>
      <c r="H32" s="1399"/>
    </row>
    <row r="33" spans="1:4" s="118" customFormat="1" ht="15" customHeight="1" thickBot="1">
      <c r="A33" s="1400"/>
      <c r="B33" s="1400"/>
      <c r="C33" s="1400"/>
      <c r="D33" s="1400"/>
    </row>
    <row r="34" spans="1:8" ht="15" customHeight="1">
      <c r="A34" s="1406" t="s">
        <v>601</v>
      </c>
      <c r="B34" s="1407"/>
      <c r="C34" s="1407"/>
      <c r="D34" s="1408"/>
      <c r="E34" s="118"/>
      <c r="F34" s="118"/>
      <c r="G34" s="118"/>
      <c r="H34" s="118"/>
    </row>
    <row r="35" spans="1:8" ht="94.5" customHeight="1" thickBot="1">
      <c r="A35" s="1401"/>
      <c r="B35" s="1402"/>
      <c r="C35" s="1402"/>
      <c r="D35" s="1403"/>
      <c r="E35" s="1398">
        <f>IF(AND(A35="",(D27+D28+D29)&gt;0),"ATTENZIONE!  Inserire nel campo NOTE l'elenco delle Istituzioni ed il relativo importo dei rimborsi RICEVUTI!",IF(AND(A35&lt;&gt;"",(D27+D28+D29)=0),"ATTENZIONE!  il campo NOTE non deve essere compilato in assenza di rimborsi",""))</f>
      </c>
      <c r="F35" s="1399"/>
      <c r="G35" s="1399"/>
      <c r="H35" s="1399"/>
    </row>
    <row r="36" spans="1:8" ht="23.25" customHeight="1">
      <c r="A36" s="5" t="s">
        <v>440</v>
      </c>
      <c r="D36" s="118"/>
      <c r="E36" s="118"/>
      <c r="F36" s="118"/>
      <c r="G36" s="118"/>
      <c r="H36" s="118"/>
    </row>
    <row r="37" spans="1:4" ht="25.5" customHeight="1">
      <c r="A37" s="1404" t="s">
        <v>602</v>
      </c>
      <c r="B37" s="1404"/>
      <c r="C37" s="1404"/>
      <c r="D37" s="1404"/>
    </row>
    <row r="38" spans="1:4" ht="25.5" customHeight="1">
      <c r="A38" s="1404" t="s">
        <v>603</v>
      </c>
      <c r="B38" s="1404"/>
      <c r="C38" s="1404"/>
      <c r="D38" s="1404"/>
    </row>
    <row r="53" ht="9.75">
      <c r="A53" s="698"/>
    </row>
  </sheetData>
  <sheetProtection password="EA98" sheet="1" formatColumns="0" selectLockedCells="1"/>
  <mergeCells count="12">
    <mergeCell ref="B2:D2"/>
    <mergeCell ref="A32:D32"/>
    <mergeCell ref="A31:D31"/>
    <mergeCell ref="A34:D34"/>
    <mergeCell ref="A1:D1"/>
    <mergeCell ref="A30:D30"/>
    <mergeCell ref="E32:H32"/>
    <mergeCell ref="A33:D33"/>
    <mergeCell ref="A35:D35"/>
    <mergeCell ref="E35:H35"/>
    <mergeCell ref="A37:D37"/>
    <mergeCell ref="A38:D38"/>
  </mergeCells>
  <dataValidations count="4">
    <dataValidation type="textLength" allowBlank="1" showInputMessage="1" showErrorMessage="1" errorTitle="ATTENZIONE ! ! ! " error="E' stato superato il limite di 1000 caratteri" sqref="A32:D32 A35:D35">
      <formula1>0</formula1>
      <formula2>1000</formula2>
    </dataValidation>
    <dataValidation type="whole" allowBlank="1" showInputMessage="1" showErrorMessage="1" errorTitle="ERRORE NEL DATO IMMESSO" error="INSERIRE SOLO NUMERI INTERI" sqref="D4:D24">
      <formula1>1</formula1>
      <formula2>999999999999</formula2>
    </dataValidation>
    <dataValidation type="whole" allowBlank="1" showInputMessage="1" showErrorMessage="1" promptTitle="ATTENZIONE" prompt="Inserire nel campo NOTE sottostante il nome delle Istituzioni da cui si ricevono i rimborsi ed i relativi importi" errorTitle="ERRORE NEL DATO IMMESSO" error="INSERIRE SOLO NUMERI INTERI" sqref="D27:D29">
      <formula1>1</formula1>
      <formula2>999999999999</formula2>
    </dataValidation>
    <dataValidation type="whole" allowBlank="1" showInputMessage="1" showErrorMessage="1" promptTitle="ATTENZIONE" prompt="Inserire nel campo NOTE sottostante il nome delle Istituzioni che ricevono i rimborsi ed i relativi importi" errorTitle="ERRORE NEL DATO IMMESSO" error="INSERIRE SOLO NUMERI INTERI" sqref="D25:D26">
      <formula1>1</formula1>
      <formula2>999999999999</formula2>
    </dataValidation>
  </dataValidations>
  <printOptions horizontalCentered="1" verticalCentered="1"/>
  <pageMargins left="0" right="0" top="0.1968503937007874" bottom="0.15748031496062992" header="0.1968503937007874" footer="0.1968503937007874"/>
  <pageSetup horizontalDpi="300" verticalDpi="300" orientation="portrait" paperSize="9" scale="85" r:id="rId3"/>
  <drawing r:id="rId2"/>
  <legacyDrawing r:id="rId1"/>
</worksheet>
</file>

<file path=xl/worksheets/sheet18.xml><?xml version="1.0" encoding="utf-8"?>
<worksheet xmlns="http://schemas.openxmlformats.org/spreadsheetml/2006/main" xmlns:r="http://schemas.openxmlformats.org/officeDocument/2006/relationships">
  <sheetPr codeName="Foglio35"/>
  <dimension ref="A1:W35"/>
  <sheetViews>
    <sheetView showGridLines="0" zoomScale="75" zoomScaleNormal="75" zoomScalePageLayoutView="0" workbookViewId="0" topLeftCell="A1">
      <selection activeCell="C7" sqref="C7"/>
    </sheetView>
  </sheetViews>
  <sheetFormatPr defaultColWidth="11.66015625" defaultRowHeight="10.5"/>
  <cols>
    <col min="1" max="1" width="70.33203125" style="976" customWidth="1"/>
    <col min="2" max="2" width="9.66015625" style="1230" customWidth="1"/>
    <col min="3" max="3" width="23" style="976" customWidth="1"/>
    <col min="4" max="4" width="3.16015625" style="976" customWidth="1"/>
    <col min="5" max="5" width="70.33203125" style="976" customWidth="1"/>
    <col min="6" max="6" width="9.66015625" style="976" customWidth="1"/>
    <col min="7" max="7" width="23" style="976" customWidth="1"/>
    <col min="8" max="8" width="34" style="976" customWidth="1"/>
    <col min="9" max="14" width="12" style="976" customWidth="1"/>
    <col min="15" max="18" width="11.66015625" style="976" hidden="1" customWidth="1"/>
    <col min="19" max="19" width="4.66015625" style="976" hidden="1" customWidth="1"/>
    <col min="20" max="23" width="11.66015625" style="976" hidden="1" customWidth="1"/>
    <col min="24" max="16384" width="11.66015625" style="976" customWidth="1"/>
  </cols>
  <sheetData>
    <row r="1" spans="1:14" ht="43.5" customHeight="1">
      <c r="A1" s="1203" t="str">
        <f>'t1'!$A$1</f>
        <v>CNEL - anno 2018</v>
      </c>
      <c r="B1" s="1203"/>
      <c r="C1" s="1203"/>
      <c r="D1" s="1203"/>
      <c r="E1" s="1203"/>
      <c r="F1" s="1203"/>
      <c r="G1" s="1203"/>
      <c r="H1" s="973" t="s">
        <v>506</v>
      </c>
      <c r="I1" s="974"/>
      <c r="J1" s="974"/>
      <c r="K1" s="974"/>
      <c r="L1" s="975"/>
      <c r="M1" s="975"/>
      <c r="N1" s="975"/>
    </row>
    <row r="2" spans="1:14" ht="42" customHeight="1" thickBot="1">
      <c r="A2" s="1204"/>
      <c r="B2" s="1204"/>
      <c r="C2" s="1204"/>
      <c r="D2" s="1204"/>
      <c r="E2" s="977"/>
      <c r="F2" s="977"/>
      <c r="G2" s="977"/>
      <c r="H2" s="974"/>
      <c r="I2" s="974"/>
      <c r="J2" s="974"/>
      <c r="K2" s="974"/>
      <c r="L2" s="974"/>
      <c r="M2" s="975"/>
      <c r="N2" s="975"/>
    </row>
    <row r="3" spans="1:23" ht="25.5" customHeight="1" thickBot="1">
      <c r="A3" s="978" t="s">
        <v>850</v>
      </c>
      <c r="B3" s="980"/>
      <c r="C3" s="979"/>
      <c r="D3" s="1185"/>
      <c r="E3" s="978" t="s">
        <v>851</v>
      </c>
      <c r="F3" s="1205"/>
      <c r="G3" s="981"/>
      <c r="H3" s="982" t="s">
        <v>682</v>
      </c>
      <c r="I3" s="1206"/>
      <c r="J3" s="1206"/>
      <c r="K3" s="1206"/>
      <c r="L3" s="1206"/>
      <c r="O3" s="1207"/>
      <c r="P3" s="1207"/>
      <c r="Q3" s="1208"/>
      <c r="R3" s="1209"/>
      <c r="S3" s="1209"/>
      <c r="T3" s="1207"/>
      <c r="U3" s="1207"/>
      <c r="V3" s="1208"/>
      <c r="W3" s="1209"/>
    </row>
    <row r="4" spans="1:17" ht="18" customHeight="1">
      <c r="A4" s="983" t="s">
        <v>132</v>
      </c>
      <c r="B4" s="984" t="s">
        <v>133</v>
      </c>
      <c r="C4" s="985" t="s">
        <v>250</v>
      </c>
      <c r="D4" s="1210"/>
      <c r="E4" s="983" t="s">
        <v>132</v>
      </c>
      <c r="F4" s="986" t="s">
        <v>133</v>
      </c>
      <c r="G4" s="987" t="s">
        <v>250</v>
      </c>
      <c r="H4" s="1409" t="s">
        <v>683</v>
      </c>
      <c r="I4" s="1211"/>
      <c r="J4" s="1211"/>
      <c r="K4" s="1211"/>
      <c r="L4" s="1211"/>
      <c r="M4" s="1212"/>
      <c r="N4" s="1212"/>
      <c r="O4" s="1206"/>
      <c r="P4" s="1206"/>
      <c r="Q4" s="1206"/>
    </row>
    <row r="5" spans="1:23" ht="15" customHeight="1">
      <c r="A5" s="988" t="s">
        <v>684</v>
      </c>
      <c r="B5" s="989"/>
      <c r="C5" s="990"/>
      <c r="D5" s="1210"/>
      <c r="E5" s="988" t="s">
        <v>684</v>
      </c>
      <c r="F5" s="989"/>
      <c r="G5" s="990"/>
      <c r="H5" s="1410"/>
      <c r="I5" s="1211"/>
      <c r="J5" s="1211"/>
      <c r="K5" s="1211"/>
      <c r="L5" s="1211"/>
      <c r="M5" s="1212"/>
      <c r="N5" s="1212"/>
      <c r="O5" s="991" t="s">
        <v>685</v>
      </c>
      <c r="P5" s="1213"/>
      <c r="Q5" s="1214"/>
      <c r="R5" s="1214"/>
      <c r="S5" s="1209"/>
      <c r="T5" s="991" t="s">
        <v>686</v>
      </c>
      <c r="U5" s="1213"/>
      <c r="V5" s="1214"/>
      <c r="W5" s="1214"/>
    </row>
    <row r="6" spans="1:23" ht="15" customHeight="1">
      <c r="A6" s="992" t="s">
        <v>687</v>
      </c>
      <c r="B6" s="993"/>
      <c r="C6" s="994"/>
      <c r="D6" s="1210"/>
      <c r="E6" s="992" t="s">
        <v>785</v>
      </c>
      <c r="F6" s="993"/>
      <c r="G6" s="994"/>
      <c r="H6" s="1410"/>
      <c r="I6" s="1211"/>
      <c r="J6" s="1211"/>
      <c r="K6" s="1211"/>
      <c r="L6" s="1211"/>
      <c r="M6" s="1212"/>
      <c r="N6" s="1212"/>
      <c r="O6" s="995" t="s">
        <v>688</v>
      </c>
      <c r="P6" s="995" t="s">
        <v>689</v>
      </c>
      <c r="Q6" s="995" t="s">
        <v>690</v>
      </c>
      <c r="R6" s="995" t="s">
        <v>691</v>
      </c>
      <c r="S6" s="1209"/>
      <c r="T6" s="995" t="s">
        <v>688</v>
      </c>
      <c r="U6" s="995" t="s">
        <v>689</v>
      </c>
      <c r="V6" s="995" t="s">
        <v>690</v>
      </c>
      <c r="W6" s="995" t="s">
        <v>691</v>
      </c>
    </row>
    <row r="7" spans="1:23" ht="15" customHeight="1">
      <c r="A7" s="996" t="s">
        <v>508</v>
      </c>
      <c r="B7" s="1182" t="s">
        <v>509</v>
      </c>
      <c r="C7" s="1181"/>
      <c r="D7" s="1215"/>
      <c r="E7" s="996" t="s">
        <v>537</v>
      </c>
      <c r="F7" s="1182" t="s">
        <v>538</v>
      </c>
      <c r="G7" s="1216"/>
      <c r="H7" s="1410"/>
      <c r="I7" s="1211"/>
      <c r="J7" s="1211"/>
      <c r="K7" s="1211"/>
      <c r="L7" s="1211"/>
      <c r="M7" s="1212"/>
      <c r="N7" s="1212"/>
      <c r="O7" s="997">
        <v>44</v>
      </c>
      <c r="P7" s="997">
        <v>7</v>
      </c>
      <c r="Q7" s="997" t="str">
        <f>B7</f>
        <v>F76G</v>
      </c>
      <c r="R7" s="998">
        <f>IF(ISNUMBER(C7),ROUND(C7,0),"")</f>
      </c>
      <c r="S7" s="997"/>
      <c r="T7" s="997">
        <v>44</v>
      </c>
      <c r="U7" s="997">
        <v>61</v>
      </c>
      <c r="V7" s="997" t="str">
        <f>F7</f>
        <v>U508</v>
      </c>
      <c r="W7" s="998">
        <f>IF(ISNUMBER(G7),ROUND(G7,0),"")</f>
      </c>
    </row>
    <row r="8" spans="1:23" ht="15" customHeight="1">
      <c r="A8" s="996" t="s">
        <v>510</v>
      </c>
      <c r="B8" s="1182" t="s">
        <v>511</v>
      </c>
      <c r="C8" s="1181"/>
      <c r="D8" s="1215"/>
      <c r="E8" s="996" t="s">
        <v>539</v>
      </c>
      <c r="F8" s="1182" t="s">
        <v>540</v>
      </c>
      <c r="G8" s="1217"/>
      <c r="H8" s="1410"/>
      <c r="I8" s="1211"/>
      <c r="J8" s="1211"/>
      <c r="K8" s="1211"/>
      <c r="L8" s="1211"/>
      <c r="M8" s="1212"/>
      <c r="N8" s="1212"/>
      <c r="O8" s="997">
        <v>44</v>
      </c>
      <c r="P8" s="997">
        <v>7</v>
      </c>
      <c r="Q8" s="997" t="str">
        <f aca="true" t="shared" si="0" ref="Q8:Q13">B8</f>
        <v>F05H</v>
      </c>
      <c r="R8" s="998">
        <f aca="true" t="shared" si="1" ref="R8:R13">IF(ISNUMBER(C8),ROUND(C8,0),"")</f>
      </c>
      <c r="S8" s="1218"/>
      <c r="T8" s="997">
        <v>44</v>
      </c>
      <c r="U8" s="997">
        <v>61</v>
      </c>
      <c r="V8" s="997" t="str">
        <f>F8</f>
        <v>U509</v>
      </c>
      <c r="W8" s="998">
        <f>IF(ISNUMBER(G8),ROUND(G8,0),"")</f>
      </c>
    </row>
    <row r="9" spans="1:23" ht="15" customHeight="1" thickBot="1">
      <c r="A9" s="996" t="s">
        <v>512</v>
      </c>
      <c r="B9" s="1182" t="s">
        <v>513</v>
      </c>
      <c r="C9" s="1181"/>
      <c r="D9" s="1215"/>
      <c r="E9" s="996" t="s">
        <v>494</v>
      </c>
      <c r="F9" s="1182" t="s">
        <v>541</v>
      </c>
      <c r="G9" s="1217"/>
      <c r="H9" s="1411"/>
      <c r="I9" s="1211"/>
      <c r="J9" s="1211"/>
      <c r="K9" s="1211"/>
      <c r="L9" s="1211"/>
      <c r="M9" s="1212"/>
      <c r="N9" s="1212"/>
      <c r="O9" s="997">
        <v>44</v>
      </c>
      <c r="P9" s="997">
        <v>7</v>
      </c>
      <c r="Q9" s="997" t="str">
        <f t="shared" si="0"/>
        <v>F57E</v>
      </c>
      <c r="R9" s="998">
        <f t="shared" si="1"/>
      </c>
      <c r="S9" s="1218"/>
      <c r="T9" s="997">
        <v>44</v>
      </c>
      <c r="U9" s="997">
        <v>61</v>
      </c>
      <c r="V9" s="997" t="str">
        <f>F9</f>
        <v>U449</v>
      </c>
      <c r="W9" s="998">
        <f>IF(ISNUMBER(G9),ROUND(G9,0),"")</f>
      </c>
    </row>
    <row r="10" spans="1:23" ht="15" customHeight="1" thickBot="1">
      <c r="A10" s="996" t="s">
        <v>514</v>
      </c>
      <c r="B10" s="1182" t="s">
        <v>515</v>
      </c>
      <c r="C10" s="1181"/>
      <c r="D10" s="1215"/>
      <c r="E10" s="996" t="s">
        <v>799</v>
      </c>
      <c r="F10" s="1182" t="s">
        <v>800</v>
      </c>
      <c r="G10" s="1216"/>
      <c r="H10" s="1002" t="s">
        <v>692</v>
      </c>
      <c r="I10" s="1211"/>
      <c r="J10" s="1211"/>
      <c r="K10" s="1211"/>
      <c r="L10" s="1211"/>
      <c r="M10" s="1212"/>
      <c r="N10" s="1212"/>
      <c r="O10" s="997">
        <v>44</v>
      </c>
      <c r="P10" s="997">
        <v>7</v>
      </c>
      <c r="Q10" s="997" t="str">
        <f t="shared" si="0"/>
        <v>F73C</v>
      </c>
      <c r="R10" s="998">
        <f t="shared" si="1"/>
      </c>
      <c r="S10" s="1218"/>
      <c r="T10" s="997">
        <v>44</v>
      </c>
      <c r="U10" s="997">
        <v>61</v>
      </c>
      <c r="V10" s="997" t="str">
        <f>F10</f>
        <v>U02I</v>
      </c>
      <c r="W10" s="998">
        <f>IF(ISNUMBER(G10),ROUND(G10,0),"")</f>
      </c>
    </row>
    <row r="11" spans="1:23" ht="15" customHeight="1">
      <c r="A11" s="996" t="s">
        <v>516</v>
      </c>
      <c r="B11" s="1182" t="s">
        <v>517</v>
      </c>
      <c r="C11" s="1181"/>
      <c r="D11" s="1215"/>
      <c r="E11" s="954" t="s">
        <v>542</v>
      </c>
      <c r="F11" s="1182" t="s">
        <v>543</v>
      </c>
      <c r="G11" s="1216"/>
      <c r="H11" s="1412" t="str">
        <f>IF(OR(AND(C33=0,G33=0),ROUND(C33,0)&lt;&gt;ROUND(G33,0)),"OK","Attenzione: le risorse del fondo coincidono esattamente con i relativi impeghi, è necessario giustificare")</f>
        <v>OK</v>
      </c>
      <c r="I11" s="1211"/>
      <c r="J11" s="1211"/>
      <c r="K11" s="1211"/>
      <c r="L11" s="1211"/>
      <c r="M11" s="1212"/>
      <c r="N11" s="1212"/>
      <c r="O11" s="997">
        <v>44</v>
      </c>
      <c r="P11" s="997">
        <v>7</v>
      </c>
      <c r="Q11" s="997" t="str">
        <f t="shared" si="0"/>
        <v>F74C</v>
      </c>
      <c r="R11" s="998">
        <f t="shared" si="1"/>
      </c>
      <c r="S11" s="1218"/>
      <c r="T11" s="997">
        <v>44</v>
      </c>
      <c r="U11" s="997">
        <v>61</v>
      </c>
      <c r="V11" s="997" t="str">
        <f>F11</f>
        <v>U998</v>
      </c>
      <c r="W11" s="998">
        <f>IF(ISNUMBER(G11),ROUND(G11,0),"")</f>
      </c>
    </row>
    <row r="12" spans="1:23" ht="15" customHeight="1" thickBot="1">
      <c r="A12" s="996" t="s">
        <v>518</v>
      </c>
      <c r="B12" s="1182" t="s">
        <v>519</v>
      </c>
      <c r="C12" s="1181"/>
      <c r="D12" s="1215"/>
      <c r="E12" s="1193" t="s">
        <v>801</v>
      </c>
      <c r="F12" s="1000"/>
      <c r="G12" s="1188">
        <f>SUM(G7:G11)</f>
        <v>0</v>
      </c>
      <c r="H12" s="1413"/>
      <c r="I12" s="1219"/>
      <c r="J12" s="1219"/>
      <c r="K12" s="1219"/>
      <c r="L12" s="1219"/>
      <c r="M12" s="1212"/>
      <c r="N12" s="1212"/>
      <c r="O12" s="997">
        <v>44</v>
      </c>
      <c r="P12" s="997">
        <v>7</v>
      </c>
      <c r="Q12" s="997" t="str">
        <f t="shared" si="0"/>
        <v>F75C</v>
      </c>
      <c r="R12" s="998">
        <f t="shared" si="1"/>
      </c>
      <c r="S12" s="1218"/>
      <c r="T12" s="1218" t="s">
        <v>586</v>
      </c>
      <c r="U12" s="997"/>
      <c r="V12" s="997"/>
      <c r="W12" s="998"/>
    </row>
    <row r="13" spans="1:23" ht="15" customHeight="1" thickBot="1">
      <c r="A13" s="996" t="s">
        <v>520</v>
      </c>
      <c r="B13" s="1182" t="s">
        <v>521</v>
      </c>
      <c r="C13" s="1181"/>
      <c r="D13" s="1215"/>
      <c r="E13" s="1199" t="s">
        <v>627</v>
      </c>
      <c r="F13" s="1200"/>
      <c r="G13" s="1009">
        <f>G12</f>
        <v>0</v>
      </c>
      <c r="H13" s="1413"/>
      <c r="I13" s="1219"/>
      <c r="J13" s="1219"/>
      <c r="K13" s="1219"/>
      <c r="L13" s="1219"/>
      <c r="M13" s="1212"/>
      <c r="N13" s="1212"/>
      <c r="O13" s="997">
        <v>44</v>
      </c>
      <c r="P13" s="997">
        <v>7</v>
      </c>
      <c r="Q13" s="997" t="str">
        <f t="shared" si="0"/>
        <v>F998</v>
      </c>
      <c r="R13" s="998">
        <f t="shared" si="1"/>
      </c>
      <c r="S13" s="1218"/>
      <c r="T13" s="997"/>
      <c r="U13" s="997"/>
      <c r="V13" s="997"/>
      <c r="W13" s="998"/>
    </row>
    <row r="14" spans="1:23" ht="15" customHeight="1" thickBot="1">
      <c r="A14" s="1187" t="s">
        <v>380</v>
      </c>
      <c r="B14" s="1201"/>
      <c r="C14" s="1188">
        <f>SUM(C7:C13)</f>
        <v>0</v>
      </c>
      <c r="D14" s="1215"/>
      <c r="E14" s="1220"/>
      <c r="F14" s="974"/>
      <c r="G14" s="1221"/>
      <c r="H14" s="1413"/>
      <c r="I14" s="1219"/>
      <c r="J14" s="1219"/>
      <c r="K14" s="1219"/>
      <c r="L14" s="1219"/>
      <c r="M14" s="1212"/>
      <c r="N14" s="1212"/>
      <c r="O14" s="997"/>
      <c r="P14" s="997"/>
      <c r="Q14" s="997"/>
      <c r="R14" s="998"/>
      <c r="S14" s="1218"/>
      <c r="U14" s="1218"/>
      <c r="V14" s="1218"/>
      <c r="W14" s="1218"/>
    </row>
    <row r="15" spans="1:23" ht="15" customHeight="1">
      <c r="A15" s="1003" t="s">
        <v>381</v>
      </c>
      <c r="B15" s="1004"/>
      <c r="C15" s="1005"/>
      <c r="D15" s="1215"/>
      <c r="E15" s="1220"/>
      <c r="F15" s="974"/>
      <c r="G15" s="1221"/>
      <c r="H15" s="1413"/>
      <c r="I15" s="1219"/>
      <c r="J15" s="1219"/>
      <c r="K15" s="1219"/>
      <c r="L15" s="1219"/>
      <c r="M15" s="1212"/>
      <c r="N15" s="1212"/>
      <c r="O15" s="1010"/>
      <c r="P15" s="1010"/>
      <c r="Q15" s="997"/>
      <c r="R15" s="998"/>
      <c r="S15" s="1218"/>
      <c r="T15" s="1218"/>
      <c r="U15" s="1218"/>
      <c r="V15" s="1218"/>
      <c r="W15" s="1218"/>
    </row>
    <row r="16" spans="1:23" ht="15" customHeight="1" thickBot="1">
      <c r="A16" s="996" t="s">
        <v>522</v>
      </c>
      <c r="B16" s="985" t="s">
        <v>523</v>
      </c>
      <c r="C16" s="1181"/>
      <c r="D16" s="1215"/>
      <c r="E16" s="1220"/>
      <c r="F16" s="974"/>
      <c r="G16" s="1221"/>
      <c r="H16" s="1414"/>
      <c r="I16" s="1219"/>
      <c r="J16" s="1219"/>
      <c r="K16" s="1219"/>
      <c r="L16" s="1219"/>
      <c r="M16" s="1212"/>
      <c r="N16" s="1212"/>
      <c r="O16" s="997">
        <v>44</v>
      </c>
      <c r="P16" s="997">
        <v>9</v>
      </c>
      <c r="Q16" s="997" t="str">
        <f>B16</f>
        <v>F50H</v>
      </c>
      <c r="R16" s="998">
        <f>IF(ISNUMBER(C16),ROUND(C16,0),"")</f>
      </c>
      <c r="S16" s="1218"/>
      <c r="T16" s="1218"/>
      <c r="U16" s="1218"/>
      <c r="V16" s="1218"/>
      <c r="W16" s="1218"/>
    </row>
    <row r="17" spans="1:23" ht="15" customHeight="1" thickBot="1">
      <c r="A17" s="996" t="s">
        <v>863</v>
      </c>
      <c r="B17" s="985" t="s">
        <v>524</v>
      </c>
      <c r="C17" s="1181"/>
      <c r="D17" s="1215"/>
      <c r="E17" s="1220"/>
      <c r="F17" s="974"/>
      <c r="G17" s="1221"/>
      <c r="H17" s="1002" t="s">
        <v>788</v>
      </c>
      <c r="I17" s="1219"/>
      <c r="J17" s="1219"/>
      <c r="K17" s="1219"/>
      <c r="L17" s="1219"/>
      <c r="M17" s="1212"/>
      <c r="N17" s="1212"/>
      <c r="O17" s="997">
        <v>44</v>
      </c>
      <c r="P17" s="997">
        <v>9</v>
      </c>
      <c r="Q17" s="997" t="str">
        <f aca="true" t="shared" si="2" ref="Q17:Q23">B17</f>
        <v>F51H</v>
      </c>
      <c r="R17" s="998">
        <f aca="true" t="shared" si="3" ref="R17:R23">IF(ISNUMBER(C17),ROUND(C17,0),"")</f>
      </c>
      <c r="S17" s="1218"/>
      <c r="T17" s="1218"/>
      <c r="U17" s="1218"/>
      <c r="V17" s="1218"/>
      <c r="W17" s="1218"/>
    </row>
    <row r="18" spans="1:23" ht="15" customHeight="1">
      <c r="A18" s="996" t="s">
        <v>525</v>
      </c>
      <c r="B18" s="985" t="s">
        <v>526</v>
      </c>
      <c r="C18" s="1181"/>
      <c r="D18" s="1215"/>
      <c r="E18" s="1220"/>
      <c r="F18" s="974"/>
      <c r="G18" s="1221"/>
      <c r="H18" s="1412" t="str">
        <f>IF(C33=0,"OK",IF(AND(C13/C33&lt;0.1,C22/C33&lt;0.1),"OK","Attenzione: la voce altre risorse fisse e/o la voce altre risorse variabili risulta maggiore del 10% del fondo, è necessario giustificare"))</f>
        <v>OK</v>
      </c>
      <c r="I18" s="1219"/>
      <c r="J18" s="1219"/>
      <c r="K18" s="1219"/>
      <c r="L18" s="1219"/>
      <c r="M18" s="1212"/>
      <c r="N18" s="1212"/>
      <c r="O18" s="997">
        <v>44</v>
      </c>
      <c r="P18" s="997">
        <v>9</v>
      </c>
      <c r="Q18" s="997" t="str">
        <f t="shared" si="2"/>
        <v>F59E</v>
      </c>
      <c r="R18" s="998">
        <f t="shared" si="3"/>
      </c>
      <c r="S18" s="1218"/>
      <c r="T18" s="1218"/>
      <c r="U18" s="1218"/>
      <c r="V18" s="1218"/>
      <c r="W18" s="1218"/>
    </row>
    <row r="19" spans="1:23" ht="15" customHeight="1">
      <c r="A19" s="996" t="s">
        <v>527</v>
      </c>
      <c r="B19" s="985" t="s">
        <v>528</v>
      </c>
      <c r="C19" s="1181"/>
      <c r="D19" s="1215"/>
      <c r="E19" s="1220"/>
      <c r="F19" s="974"/>
      <c r="G19" s="1221"/>
      <c r="H19" s="1413"/>
      <c r="I19" s="1011"/>
      <c r="J19" s="1011"/>
      <c r="K19" s="1011"/>
      <c r="L19" s="1011"/>
      <c r="M19" s="1212"/>
      <c r="N19" s="1212"/>
      <c r="O19" s="997">
        <v>44</v>
      </c>
      <c r="P19" s="997">
        <v>9</v>
      </c>
      <c r="Q19" s="997" t="str">
        <f t="shared" si="2"/>
        <v>F22E</v>
      </c>
      <c r="R19" s="998">
        <f t="shared" si="3"/>
      </c>
      <c r="S19" s="1218"/>
      <c r="T19" s="1218"/>
      <c r="U19" s="1218"/>
      <c r="V19" s="1218"/>
      <c r="W19" s="1218"/>
    </row>
    <row r="20" spans="1:23" ht="15" customHeight="1">
      <c r="A20" s="996" t="s">
        <v>529</v>
      </c>
      <c r="B20" s="985" t="s">
        <v>530</v>
      </c>
      <c r="C20" s="1181"/>
      <c r="D20" s="1215"/>
      <c r="E20" s="1220"/>
      <c r="F20" s="974"/>
      <c r="G20" s="1221"/>
      <c r="H20" s="1413"/>
      <c r="I20" s="1011"/>
      <c r="J20" s="1011"/>
      <c r="K20" s="1011"/>
      <c r="L20" s="1011"/>
      <c r="M20" s="1212"/>
      <c r="N20" s="1212"/>
      <c r="O20" s="997">
        <v>44</v>
      </c>
      <c r="P20" s="997">
        <v>9</v>
      </c>
      <c r="Q20" s="997" t="str">
        <f t="shared" si="2"/>
        <v>F77C</v>
      </c>
      <c r="R20" s="998">
        <f t="shared" si="3"/>
      </c>
      <c r="S20" s="1218"/>
      <c r="T20" s="1218"/>
      <c r="U20" s="1218"/>
      <c r="V20" s="1218"/>
      <c r="W20" s="1218"/>
    </row>
    <row r="21" spans="1:23" ht="15" customHeight="1">
      <c r="A21" s="996" t="s">
        <v>531</v>
      </c>
      <c r="B21" s="985" t="s">
        <v>532</v>
      </c>
      <c r="C21" s="1181"/>
      <c r="D21" s="1215"/>
      <c r="E21" s="1220"/>
      <c r="F21" s="974"/>
      <c r="G21" s="1221"/>
      <c r="H21" s="1413"/>
      <c r="I21" s="1222"/>
      <c r="J21" s="1222"/>
      <c r="K21" s="1222"/>
      <c r="L21" s="1222"/>
      <c r="M21" s="974"/>
      <c r="N21" s="974"/>
      <c r="O21" s="997">
        <v>44</v>
      </c>
      <c r="P21" s="997">
        <v>9</v>
      </c>
      <c r="Q21" s="997" t="str">
        <f t="shared" si="2"/>
        <v>F60E</v>
      </c>
      <c r="R21" s="998">
        <f t="shared" si="3"/>
      </c>
      <c r="S21" s="1218"/>
      <c r="T21" s="1218"/>
      <c r="U21" s="1218"/>
      <c r="V21" s="1218"/>
      <c r="W21" s="1218"/>
    </row>
    <row r="22" spans="1:23" ht="15" customHeight="1">
      <c r="A22" s="996" t="s">
        <v>533</v>
      </c>
      <c r="B22" s="985" t="s">
        <v>534</v>
      </c>
      <c r="C22" s="1181"/>
      <c r="D22" s="1215"/>
      <c r="E22" s="1220"/>
      <c r="F22" s="974"/>
      <c r="G22" s="1221"/>
      <c r="H22" s="1413"/>
      <c r="I22" s="1222"/>
      <c r="J22" s="1222"/>
      <c r="K22" s="1222"/>
      <c r="L22" s="1222"/>
      <c r="M22" s="974"/>
      <c r="N22" s="974"/>
      <c r="O22" s="997">
        <v>44</v>
      </c>
      <c r="P22" s="997">
        <v>9</v>
      </c>
      <c r="Q22" s="997" t="str">
        <f t="shared" si="2"/>
        <v>F995</v>
      </c>
      <c r="R22" s="998">
        <f t="shared" si="3"/>
      </c>
      <c r="S22" s="1218"/>
      <c r="T22" s="1218"/>
      <c r="U22" s="1218"/>
      <c r="V22" s="1218"/>
      <c r="W22" s="1218"/>
    </row>
    <row r="23" spans="1:23" ht="15" customHeight="1" thickBot="1">
      <c r="A23" s="996" t="s">
        <v>535</v>
      </c>
      <c r="B23" s="985" t="s">
        <v>536</v>
      </c>
      <c r="C23" s="1181"/>
      <c r="D23" s="1215"/>
      <c r="E23" s="1220"/>
      <c r="F23" s="974"/>
      <c r="G23" s="1221"/>
      <c r="H23" s="1414"/>
      <c r="I23" s="1222"/>
      <c r="J23" s="1222"/>
      <c r="K23" s="1222"/>
      <c r="L23" s="1222"/>
      <c r="M23" s="974"/>
      <c r="N23" s="974"/>
      <c r="O23" s="997">
        <v>44</v>
      </c>
      <c r="P23" s="997">
        <v>9</v>
      </c>
      <c r="Q23" s="997" t="str">
        <f t="shared" si="2"/>
        <v>F999</v>
      </c>
      <c r="R23" s="998">
        <f t="shared" si="3"/>
      </c>
      <c r="S23" s="1218"/>
      <c r="T23" s="1218"/>
      <c r="U23" s="1218"/>
      <c r="V23" s="1218"/>
      <c r="W23" s="1218"/>
    </row>
    <row r="24" spans="1:23" ht="15" customHeight="1" thickBot="1">
      <c r="A24" s="1187" t="s">
        <v>382</v>
      </c>
      <c r="B24" s="1201"/>
      <c r="C24" s="1188">
        <f>SUM(C16:C23)</f>
        <v>0</v>
      </c>
      <c r="D24" s="1215"/>
      <c r="E24" s="1220"/>
      <c r="F24" s="974"/>
      <c r="G24" s="1221"/>
      <c r="H24" s="1223"/>
      <c r="I24" s="1222"/>
      <c r="J24" s="1222"/>
      <c r="K24" s="1222"/>
      <c r="L24" s="1222"/>
      <c r="M24" s="974"/>
      <c r="N24" s="974"/>
      <c r="O24" s="997"/>
      <c r="P24" s="997"/>
      <c r="Q24" s="997"/>
      <c r="R24" s="998"/>
      <c r="S24" s="1218"/>
      <c r="T24" s="1218"/>
      <c r="U24" s="1218"/>
      <c r="V24" s="1218"/>
      <c r="W24" s="1218"/>
    </row>
    <row r="25" spans="1:23" ht="15" customHeight="1">
      <c r="A25" s="1162" t="s">
        <v>780</v>
      </c>
      <c r="B25" s="1163"/>
      <c r="C25" s="1164"/>
      <c r="D25" s="1224"/>
      <c r="E25" s="1012"/>
      <c r="F25" s="1013"/>
      <c r="G25" s="1221"/>
      <c r="H25" s="1223"/>
      <c r="I25" s="1222"/>
      <c r="J25" s="1222"/>
      <c r="K25" s="1222"/>
      <c r="L25" s="1222"/>
      <c r="M25" s="974"/>
      <c r="N25" s="974"/>
      <c r="O25" s="997"/>
      <c r="P25" s="997"/>
      <c r="Q25" s="997"/>
      <c r="R25" s="998"/>
      <c r="S25" s="1218"/>
      <c r="T25" s="1218"/>
      <c r="U25" s="1218"/>
      <c r="V25" s="1218"/>
      <c r="W25" s="1218"/>
    </row>
    <row r="26" spans="1:23" ht="15" customHeight="1">
      <c r="A26" s="996" t="s">
        <v>781</v>
      </c>
      <c r="B26" s="985" t="s">
        <v>782</v>
      </c>
      <c r="C26" s="1181"/>
      <c r="D26" s="1225"/>
      <c r="E26" s="1012"/>
      <c r="F26" s="1013"/>
      <c r="G26" s="1221"/>
      <c r="H26" s="1223"/>
      <c r="I26" s="1222"/>
      <c r="J26" s="1222"/>
      <c r="K26" s="1222"/>
      <c r="L26" s="1222"/>
      <c r="M26" s="974"/>
      <c r="N26" s="974"/>
      <c r="O26" s="997">
        <v>44</v>
      </c>
      <c r="P26" s="997">
        <v>81</v>
      </c>
      <c r="Q26" s="997" t="str">
        <f>B26</f>
        <v>F02P</v>
      </c>
      <c r="R26" s="998">
        <f>IF(ISNUMBER(C26),ROUND(C26,0),"")</f>
      </c>
      <c r="S26" s="1218"/>
      <c r="T26" s="1218"/>
      <c r="U26" s="1218"/>
      <c r="V26" s="1218"/>
      <c r="W26" s="1218"/>
    </row>
    <row r="27" spans="1:23" ht="15" customHeight="1">
      <c r="A27" s="996" t="s">
        <v>649</v>
      </c>
      <c r="B27" s="985" t="s">
        <v>650</v>
      </c>
      <c r="C27" s="1181"/>
      <c r="D27" s="1225"/>
      <c r="E27" s="1012"/>
      <c r="F27" s="1013"/>
      <c r="G27" s="1221"/>
      <c r="H27" s="1223"/>
      <c r="I27" s="1222"/>
      <c r="J27" s="1222"/>
      <c r="K27" s="1222"/>
      <c r="L27" s="1222"/>
      <c r="M27" s="974"/>
      <c r="N27" s="974"/>
      <c r="O27" s="997">
        <v>44</v>
      </c>
      <c r="P27" s="997">
        <v>81</v>
      </c>
      <c r="Q27" s="997" t="str">
        <f>B27</f>
        <v>F27I</v>
      </c>
      <c r="R27" s="998">
        <f>IF(ISNUMBER(C27),ROUND(C27,0),"")</f>
      </c>
      <c r="S27" s="1218"/>
      <c r="T27" s="1218"/>
      <c r="U27" s="1218"/>
      <c r="V27" s="1218"/>
      <c r="W27" s="1218"/>
    </row>
    <row r="28" spans="1:23" ht="15" customHeight="1">
      <c r="A28" s="1242" t="s">
        <v>798</v>
      </c>
      <c r="B28" s="1186" t="s">
        <v>797</v>
      </c>
      <c r="C28" s="1181"/>
      <c r="D28" s="1225"/>
      <c r="E28" s="1012"/>
      <c r="F28" s="1013"/>
      <c r="G28" s="1221"/>
      <c r="H28" s="1223"/>
      <c r="I28" s="1222"/>
      <c r="J28" s="1222"/>
      <c r="K28" s="1222"/>
      <c r="L28" s="1222"/>
      <c r="M28" s="974"/>
      <c r="N28" s="974"/>
      <c r="O28" s="997">
        <v>44</v>
      </c>
      <c r="P28" s="997">
        <v>81</v>
      </c>
      <c r="Q28" s="997" t="str">
        <f>B28</f>
        <v>F00P</v>
      </c>
      <c r="R28" s="998">
        <f>IF(ISNUMBER(C28),ROUND(C28,0),"")</f>
      </c>
      <c r="S28" s="1218"/>
      <c r="T28" s="1218"/>
      <c r="U28" s="1218"/>
      <c r="V28" s="1218"/>
      <c r="W28" s="1218"/>
    </row>
    <row r="29" spans="1:23" ht="15" customHeight="1">
      <c r="A29" s="996" t="s">
        <v>864</v>
      </c>
      <c r="B29" s="1183" t="s">
        <v>836</v>
      </c>
      <c r="C29" s="1181"/>
      <c r="D29" s="1225"/>
      <c r="E29" s="1012"/>
      <c r="F29" s="1013"/>
      <c r="G29" s="1221"/>
      <c r="H29" s="1223"/>
      <c r="I29" s="1222"/>
      <c r="J29" s="1222"/>
      <c r="K29" s="1222"/>
      <c r="L29" s="1222"/>
      <c r="M29" s="974"/>
      <c r="N29" s="974"/>
      <c r="O29" s="997">
        <v>44</v>
      </c>
      <c r="P29" s="997">
        <v>81</v>
      </c>
      <c r="Q29" s="997" t="str">
        <f>B29</f>
        <v>F01S</v>
      </c>
      <c r="R29" s="998">
        <f>IF(ISNUMBER(C29),ROUND(C29,0),"")</f>
      </c>
      <c r="S29" s="1218"/>
      <c r="T29" s="1218"/>
      <c r="U29" s="1218"/>
      <c r="V29" s="1218"/>
      <c r="W29" s="1218"/>
    </row>
    <row r="30" spans="1:23" ht="15" customHeight="1">
      <c r="A30" s="1242" t="s">
        <v>795</v>
      </c>
      <c r="B30" s="1186" t="s">
        <v>796</v>
      </c>
      <c r="C30" s="1226"/>
      <c r="D30" s="1224"/>
      <c r="E30" s="1012"/>
      <c r="F30" s="1013"/>
      <c r="G30" s="1221"/>
      <c r="H30" s="1223"/>
      <c r="I30" s="1222"/>
      <c r="J30" s="1222"/>
      <c r="K30" s="1222"/>
      <c r="L30" s="1222"/>
      <c r="M30" s="974"/>
      <c r="N30" s="974"/>
      <c r="O30" s="997">
        <v>44</v>
      </c>
      <c r="P30" s="997">
        <v>81</v>
      </c>
      <c r="Q30" s="997" t="str">
        <f>B30</f>
        <v>F01P</v>
      </c>
      <c r="R30" s="998">
        <f>IF(ISNUMBER(C30),ROUND(C30,0),"")</f>
      </c>
      <c r="S30" s="1218"/>
      <c r="T30" s="1218"/>
      <c r="U30" s="1218"/>
      <c r="V30" s="1218"/>
      <c r="W30" s="1218"/>
    </row>
    <row r="31" spans="1:23" ht="15" customHeight="1">
      <c r="A31" s="1195" t="s">
        <v>783</v>
      </c>
      <c r="B31" s="1202"/>
      <c r="C31" s="1241">
        <f>SUM(C26:C30)</f>
        <v>0</v>
      </c>
      <c r="D31" s="1215"/>
      <c r="E31" s="1012"/>
      <c r="F31" s="1013"/>
      <c r="G31" s="1221"/>
      <c r="H31" s="1223"/>
      <c r="I31" s="1222"/>
      <c r="J31" s="1222"/>
      <c r="K31" s="1222"/>
      <c r="L31" s="1222"/>
      <c r="M31" s="974"/>
      <c r="N31" s="974"/>
      <c r="O31" s="1218" t="s">
        <v>586</v>
      </c>
      <c r="P31" s="997"/>
      <c r="Q31" s="997"/>
      <c r="R31" s="998">
        <f>IF(ISNUMBER(#REF!),ROUND(#REF!,0),"")</f>
      </c>
      <c r="S31" s="1218"/>
      <c r="T31" s="1218"/>
      <c r="U31" s="1218"/>
      <c r="V31" s="1218"/>
      <c r="W31" s="1218"/>
    </row>
    <row r="32" spans="1:23" ht="15" customHeight="1" thickBot="1">
      <c r="A32" s="1196" t="s">
        <v>627</v>
      </c>
      <c r="B32" s="1200"/>
      <c r="C32" s="1009">
        <f>C14+C24-C31</f>
        <v>0</v>
      </c>
      <c r="D32" s="1228"/>
      <c r="E32" s="1014"/>
      <c r="F32" s="1015"/>
      <c r="G32" s="1227"/>
      <c r="H32" s="1222"/>
      <c r="I32" s="1222"/>
      <c r="J32" s="1222"/>
      <c r="K32" s="1222"/>
      <c r="L32" s="1222"/>
      <c r="M32" s="974"/>
      <c r="N32" s="974"/>
      <c r="O32" s="997"/>
      <c r="P32" s="997"/>
      <c r="Q32" s="997"/>
      <c r="R32" s="998">
        <f>IF(ISNUMBER(#REF!),ROUND(#REF!,0),"")</f>
      </c>
      <c r="S32" s="1218"/>
      <c r="T32" s="1218"/>
      <c r="U32" s="1218"/>
      <c r="V32" s="1218"/>
      <c r="W32" s="1218"/>
    </row>
    <row r="33" spans="1:23" ht="15" customHeight="1" thickBot="1">
      <c r="A33" s="1166" t="s">
        <v>784</v>
      </c>
      <c r="B33" s="1197"/>
      <c r="C33" s="1165">
        <f>C32</f>
        <v>0</v>
      </c>
      <c r="D33" s="1228"/>
      <c r="E33" s="1166" t="s">
        <v>787</v>
      </c>
      <c r="F33" s="1229"/>
      <c r="G33" s="1165">
        <f>G13</f>
        <v>0</v>
      </c>
      <c r="H33" s="1222"/>
      <c r="I33" s="1222"/>
      <c r="J33" s="1222"/>
      <c r="K33" s="1222"/>
      <c r="L33" s="1222"/>
      <c r="M33" s="974"/>
      <c r="N33" s="974"/>
      <c r="P33" s="1218"/>
      <c r="Q33" s="1218"/>
      <c r="R33" s="1218"/>
      <c r="S33" s="1218"/>
      <c r="T33" s="1218"/>
      <c r="U33" s="1218"/>
      <c r="V33" s="1218"/>
      <c r="W33" s="1218"/>
    </row>
    <row r="34" spans="1:23" ht="15" customHeight="1">
      <c r="A34" s="975"/>
      <c r="C34" s="975"/>
      <c r="E34" s="975"/>
      <c r="F34" s="975"/>
      <c r="G34" s="975"/>
      <c r="H34" s="1231"/>
      <c r="I34" s="1219"/>
      <c r="J34" s="1219"/>
      <c r="K34" s="1219"/>
      <c r="L34" s="1219"/>
      <c r="M34" s="974"/>
      <c r="N34" s="974"/>
      <c r="O34" s="997"/>
      <c r="P34" s="997"/>
      <c r="Q34" s="997"/>
      <c r="R34" s="998"/>
      <c r="S34" s="1218"/>
      <c r="T34" s="1218"/>
      <c r="U34" s="1218"/>
      <c r="V34" s="1218"/>
      <c r="W34" s="1218"/>
    </row>
    <row r="35" spans="1:5" ht="11.25">
      <c r="A35" s="976" t="s">
        <v>865</v>
      </c>
      <c r="C35" s="975"/>
      <c r="E35" s="975"/>
    </row>
  </sheetData>
  <sheetProtection password="EA98" sheet="1" formatColumns="0" selectLockedCells="1"/>
  <mergeCells count="3">
    <mergeCell ref="H4:H9"/>
    <mergeCell ref="H11:H16"/>
    <mergeCell ref="H18:H23"/>
  </mergeCells>
  <dataValidations count="2">
    <dataValidation type="whole" allowBlank="1" showInputMessage="1" showErrorMessage="1" errorTitle="ERRORE NEL DATO IMMESSO" error="INSERIRE SOLO NUMERI INTERI" sqref="C7:C13 C16:C23 G7:G11 C26:C30">
      <formula1>0</formula1>
      <formula2>999999999999</formula2>
    </dataValidation>
    <dataValidation type="whole" allowBlank="1" showInputMessage="1" showErrorMessage="1" errorTitle="ERRORE NEL DATO IMMESSO" error="INSERIRE SOLO NUMERI INTERI" sqref="C14 C24:C25 C31:C32 G12:G13 G25:G32">
      <formula1>-999999999999</formula1>
      <formula2>999999999999</formula2>
    </dataValidation>
  </dataValidations>
  <printOptions horizontalCentered="1" verticalCentered="1"/>
  <pageMargins left="0.3937007874015748" right="0.3937007874015748" top="0.3937007874015748" bottom="0.3937007874015748" header="0.5118110236220472" footer="0.1968503937007874"/>
  <pageSetup horizontalDpi="300" verticalDpi="300" orientation="landscape" paperSize="9" scale="80" r:id="rId2"/>
  <drawing r:id="rId1"/>
</worksheet>
</file>

<file path=xl/worksheets/sheet19.xml><?xml version="1.0" encoding="utf-8"?>
<worksheet xmlns="http://schemas.openxmlformats.org/spreadsheetml/2006/main" xmlns:r="http://schemas.openxmlformats.org/officeDocument/2006/relationships">
  <sheetPr codeName="Foglio37"/>
  <dimension ref="A1:W37"/>
  <sheetViews>
    <sheetView showGridLines="0" zoomScale="80" zoomScaleNormal="80" zoomScalePageLayoutView="0" workbookViewId="0" topLeftCell="A1">
      <selection activeCell="C7" sqref="C7"/>
    </sheetView>
  </sheetViews>
  <sheetFormatPr defaultColWidth="11.66015625" defaultRowHeight="10.5"/>
  <cols>
    <col min="1" max="1" width="70.33203125" style="976" customWidth="1"/>
    <col min="2" max="2" width="9.66015625" style="1230" customWidth="1"/>
    <col min="3" max="3" width="23" style="976" customWidth="1"/>
    <col min="4" max="4" width="3.16015625" style="976" customWidth="1"/>
    <col min="5" max="5" width="70.33203125" style="976" customWidth="1"/>
    <col min="6" max="6" width="9.66015625" style="976" customWidth="1"/>
    <col min="7" max="7" width="23" style="976" customWidth="1"/>
    <col min="8" max="8" width="38.16015625" style="976" customWidth="1"/>
    <col min="9" max="14" width="12" style="976" customWidth="1"/>
    <col min="15" max="18" width="11.66015625" style="976" hidden="1" customWidth="1"/>
    <col min="19" max="19" width="4.66015625" style="976" hidden="1" customWidth="1"/>
    <col min="20" max="23" width="11.66015625" style="976" hidden="1" customWidth="1"/>
    <col min="24" max="16384" width="11.66015625" style="976" customWidth="1"/>
  </cols>
  <sheetData>
    <row r="1" spans="1:14" ht="43.5" customHeight="1">
      <c r="A1" s="1203" t="str">
        <f>'t1'!$A$1</f>
        <v>CNEL - anno 2018</v>
      </c>
      <c r="B1" s="1203"/>
      <c r="C1" s="1203"/>
      <c r="D1" s="1203"/>
      <c r="E1" s="1203"/>
      <c r="F1" s="1203"/>
      <c r="G1" s="1203"/>
      <c r="H1" s="973" t="s">
        <v>507</v>
      </c>
      <c r="I1" s="974"/>
      <c r="J1" s="974"/>
      <c r="K1" s="974"/>
      <c r="L1" s="975"/>
      <c r="M1" s="975"/>
      <c r="N1" s="975"/>
    </row>
    <row r="2" spans="1:14" ht="42" customHeight="1" thickBot="1">
      <c r="A2" s="1204"/>
      <c r="B2" s="1204"/>
      <c r="C2" s="1204"/>
      <c r="D2" s="1204"/>
      <c r="E2" s="977"/>
      <c r="F2" s="977"/>
      <c r="G2" s="977"/>
      <c r="H2" s="974"/>
      <c r="I2" s="974"/>
      <c r="J2" s="974"/>
      <c r="K2" s="974"/>
      <c r="L2" s="974"/>
      <c r="M2" s="975"/>
      <c r="N2" s="975"/>
    </row>
    <row r="3" spans="1:23" ht="25.5" customHeight="1" thickBot="1">
      <c r="A3" s="978" t="s">
        <v>850</v>
      </c>
      <c r="B3" s="980"/>
      <c r="C3" s="979"/>
      <c r="D3" s="1185"/>
      <c r="E3" s="978" t="s">
        <v>851</v>
      </c>
      <c r="F3" s="1205"/>
      <c r="G3" s="981"/>
      <c r="H3" s="982" t="s">
        <v>682</v>
      </c>
      <c r="I3" s="1206"/>
      <c r="J3" s="1206"/>
      <c r="K3" s="1206"/>
      <c r="L3" s="1206"/>
      <c r="O3" s="1207"/>
      <c r="P3" s="1207"/>
      <c r="Q3" s="1208"/>
      <c r="R3" s="1209"/>
      <c r="S3" s="1209"/>
      <c r="T3" s="1207"/>
      <c r="U3" s="1207"/>
      <c r="V3" s="1208"/>
      <c r="W3" s="1209"/>
    </row>
    <row r="4" spans="1:17" ht="18" customHeight="1">
      <c r="A4" s="983" t="s">
        <v>132</v>
      </c>
      <c r="B4" s="984" t="s">
        <v>133</v>
      </c>
      <c r="C4" s="985" t="s">
        <v>250</v>
      </c>
      <c r="D4" s="1210"/>
      <c r="E4" s="983" t="s">
        <v>132</v>
      </c>
      <c r="F4" s="986" t="s">
        <v>133</v>
      </c>
      <c r="G4" s="987" t="s">
        <v>250</v>
      </c>
      <c r="H4" s="1412" t="str">
        <f>IF(AND(C35=0,ISBLANK('SICI(1)'!E17),ISBLANK('SICI(1)'!E19),ISBLANK('SICI(1)'!E21)),"OK",IF(AND(C35&gt;0,ISBLANK('SICI(1)'!E17),ISBLANK('SICI(1)'!E19),ISBLANK('SICI(1)'!E21)),"Attenzione: inserire le voci di costituzione del fondo unicamente in presenza di certificazione dello stesso !!!","OK"))</f>
        <v>OK</v>
      </c>
      <c r="I4" s="1211"/>
      <c r="J4" s="1211"/>
      <c r="K4" s="1211"/>
      <c r="L4" s="1211"/>
      <c r="M4" s="1212"/>
      <c r="N4" s="1212"/>
      <c r="O4" s="1206"/>
      <c r="P4" s="1206"/>
      <c r="Q4" s="1206"/>
    </row>
    <row r="5" spans="1:23" ht="15" customHeight="1">
      <c r="A5" s="988" t="s">
        <v>684</v>
      </c>
      <c r="B5" s="989"/>
      <c r="C5" s="990"/>
      <c r="D5" s="1210"/>
      <c r="E5" s="988" t="s">
        <v>684</v>
      </c>
      <c r="F5" s="989"/>
      <c r="G5" s="990"/>
      <c r="H5" s="1413"/>
      <c r="I5" s="1211"/>
      <c r="J5" s="1211"/>
      <c r="K5" s="1211"/>
      <c r="L5" s="1211"/>
      <c r="M5" s="1212"/>
      <c r="N5" s="1212"/>
      <c r="O5" s="991" t="s">
        <v>685</v>
      </c>
      <c r="P5" s="1213"/>
      <c r="Q5" s="1214"/>
      <c r="R5" s="1214"/>
      <c r="S5" s="1209"/>
      <c r="T5" s="991" t="s">
        <v>686</v>
      </c>
      <c r="U5" s="1213"/>
      <c r="V5" s="1214"/>
      <c r="W5" s="1214"/>
    </row>
    <row r="6" spans="1:23" ht="15" customHeight="1">
      <c r="A6" s="992" t="s">
        <v>687</v>
      </c>
      <c r="B6" s="993"/>
      <c r="C6" s="994"/>
      <c r="D6" s="1210"/>
      <c r="E6" s="992" t="s">
        <v>785</v>
      </c>
      <c r="F6" s="993"/>
      <c r="G6" s="994"/>
      <c r="H6" s="1413"/>
      <c r="I6" s="1211"/>
      <c r="J6" s="1211"/>
      <c r="K6" s="1211"/>
      <c r="L6" s="1211"/>
      <c r="M6" s="1212"/>
      <c r="N6" s="1212"/>
      <c r="O6" s="995" t="s">
        <v>688</v>
      </c>
      <c r="P6" s="995" t="s">
        <v>689</v>
      </c>
      <c r="Q6" s="995" t="s">
        <v>690</v>
      </c>
      <c r="R6" s="995" t="s">
        <v>691</v>
      </c>
      <c r="S6" s="1209"/>
      <c r="T6" s="995" t="s">
        <v>688</v>
      </c>
      <c r="U6" s="995" t="s">
        <v>689</v>
      </c>
      <c r="V6" s="995" t="s">
        <v>690</v>
      </c>
      <c r="W6" s="995" t="s">
        <v>691</v>
      </c>
    </row>
    <row r="7" spans="1:23" ht="15" customHeight="1">
      <c r="A7" s="996" t="s">
        <v>508</v>
      </c>
      <c r="B7" s="1182" t="s">
        <v>509</v>
      </c>
      <c r="C7" s="1181"/>
      <c r="D7" s="1215"/>
      <c r="E7" s="996" t="s">
        <v>537</v>
      </c>
      <c r="F7" s="1182" t="s">
        <v>538</v>
      </c>
      <c r="G7" s="1216"/>
      <c r="H7" s="1413"/>
      <c r="I7" s="1211"/>
      <c r="J7" s="1211"/>
      <c r="K7" s="1211"/>
      <c r="L7" s="1211"/>
      <c r="M7" s="1212"/>
      <c r="N7" s="1212"/>
      <c r="O7" s="997">
        <v>44</v>
      </c>
      <c r="P7" s="997">
        <v>7</v>
      </c>
      <c r="Q7" s="997" t="str">
        <f>B7</f>
        <v>F76G</v>
      </c>
      <c r="R7" s="998">
        <f>IF(ISNUMBER(C7),ROUND(C7,0),"")</f>
      </c>
      <c r="S7" s="1218"/>
      <c r="T7" s="997">
        <v>44</v>
      </c>
      <c r="U7" s="997">
        <v>61</v>
      </c>
      <c r="V7" s="997" t="str">
        <f>F7</f>
        <v>U508</v>
      </c>
      <c r="W7" s="998">
        <f>IF(ISNUMBER(G7),ROUND(G7,0),"")</f>
      </c>
    </row>
    <row r="8" spans="1:23" ht="15" customHeight="1">
      <c r="A8" s="996" t="s">
        <v>544</v>
      </c>
      <c r="B8" s="1182" t="s">
        <v>545</v>
      </c>
      <c r="C8" s="1181"/>
      <c r="D8" s="1215"/>
      <c r="E8" s="996" t="s">
        <v>539</v>
      </c>
      <c r="F8" s="1182" t="s">
        <v>540</v>
      </c>
      <c r="G8" s="1217"/>
      <c r="H8" s="1413"/>
      <c r="I8" s="1211"/>
      <c r="J8" s="1211"/>
      <c r="K8" s="1211"/>
      <c r="L8" s="1211"/>
      <c r="M8" s="1212"/>
      <c r="N8" s="1212"/>
      <c r="O8" s="997">
        <v>44</v>
      </c>
      <c r="P8" s="997">
        <v>7</v>
      </c>
      <c r="Q8" s="997" t="str">
        <f aca="true" t="shared" si="0" ref="Q8:Q13">B8</f>
        <v>F11H</v>
      </c>
      <c r="R8" s="998">
        <f aca="true" t="shared" si="1" ref="R8:R13">IF(ISNUMBER(C8),ROUND(C8,0),"")</f>
      </c>
      <c r="S8" s="1218"/>
      <c r="T8" s="997">
        <v>44</v>
      </c>
      <c r="U8" s="997">
        <v>61</v>
      </c>
      <c r="V8" s="997" t="str">
        <f>F8</f>
        <v>U509</v>
      </c>
      <c r="W8" s="998">
        <f>IF(ISNUMBER(G8),ROUND(G8,0),"")</f>
      </c>
    </row>
    <row r="9" spans="1:23" ht="15" customHeight="1" thickBot="1">
      <c r="A9" s="996" t="s">
        <v>546</v>
      </c>
      <c r="B9" s="1182" t="s">
        <v>547</v>
      </c>
      <c r="C9" s="1181"/>
      <c r="D9" s="1215"/>
      <c r="E9" s="996" t="s">
        <v>494</v>
      </c>
      <c r="F9" s="1182" t="s">
        <v>541</v>
      </c>
      <c r="G9" s="1232"/>
      <c r="H9" s="1414"/>
      <c r="I9" s="1211"/>
      <c r="J9" s="1211"/>
      <c r="K9" s="1211"/>
      <c r="L9" s="1211"/>
      <c r="M9" s="1212"/>
      <c r="N9" s="1212"/>
      <c r="O9" s="997">
        <v>44</v>
      </c>
      <c r="P9" s="997">
        <v>7</v>
      </c>
      <c r="Q9" s="997" t="str">
        <f t="shared" si="0"/>
        <v>F61E</v>
      </c>
      <c r="R9" s="998">
        <f t="shared" si="1"/>
      </c>
      <c r="S9" s="1218"/>
      <c r="T9" s="997">
        <v>44</v>
      </c>
      <c r="U9" s="997">
        <v>61</v>
      </c>
      <c r="V9" s="997" t="str">
        <f>F9</f>
        <v>U449</v>
      </c>
      <c r="W9" s="998">
        <f>IF(ISNUMBER(G9),ROUND(G9,0),"")</f>
      </c>
    </row>
    <row r="10" spans="1:23" ht="15" customHeight="1" thickBot="1">
      <c r="A10" s="996" t="s">
        <v>548</v>
      </c>
      <c r="B10" s="1182" t="s">
        <v>549</v>
      </c>
      <c r="C10" s="1181"/>
      <c r="D10" s="1215"/>
      <c r="E10" s="996" t="s">
        <v>799</v>
      </c>
      <c r="F10" s="1182" t="s">
        <v>800</v>
      </c>
      <c r="G10" s="1216"/>
      <c r="H10" s="1002" t="s">
        <v>692</v>
      </c>
      <c r="I10" s="1211"/>
      <c r="J10" s="1211"/>
      <c r="K10" s="1211"/>
      <c r="L10" s="1211"/>
      <c r="M10" s="1212"/>
      <c r="N10" s="1212"/>
      <c r="O10" s="997">
        <v>44</v>
      </c>
      <c r="P10" s="997">
        <v>7</v>
      </c>
      <c r="Q10" s="997" t="str">
        <f t="shared" si="0"/>
        <v>F84C</v>
      </c>
      <c r="R10" s="998">
        <f t="shared" si="1"/>
      </c>
      <c r="S10" s="1218"/>
      <c r="T10" s="997">
        <v>44</v>
      </c>
      <c r="U10" s="997">
        <v>61</v>
      </c>
      <c r="V10" s="997" t="str">
        <f>F10</f>
        <v>U02I</v>
      </c>
      <c r="W10" s="998">
        <f>IF(ISNUMBER(G10),ROUND(G10,0),"")</f>
      </c>
    </row>
    <row r="11" spans="1:23" ht="15" customHeight="1">
      <c r="A11" s="996" t="s">
        <v>550</v>
      </c>
      <c r="B11" s="1182" t="s">
        <v>551</v>
      </c>
      <c r="C11" s="1181"/>
      <c r="D11" s="1215"/>
      <c r="E11" s="954" t="s">
        <v>542</v>
      </c>
      <c r="F11" s="1182" t="s">
        <v>543</v>
      </c>
      <c r="G11" s="1217"/>
      <c r="H11" s="1412" t="str">
        <f>IF(OR(AND(C35=0,G35=0),ROUND(C35,0)&lt;&gt;ROUND(G35,0)),"OK","Attenzione: le risorse del fondo coincidono esattamente con i relativi impeghi, è necessario giustificare")</f>
        <v>OK</v>
      </c>
      <c r="I11" s="1219"/>
      <c r="J11" s="1219"/>
      <c r="K11" s="1219"/>
      <c r="L11" s="1219"/>
      <c r="M11" s="1212"/>
      <c r="N11" s="1212"/>
      <c r="O11" s="997">
        <v>44</v>
      </c>
      <c r="P11" s="997">
        <v>7</v>
      </c>
      <c r="Q11" s="997" t="str">
        <f t="shared" si="0"/>
        <v>F89C</v>
      </c>
      <c r="R11" s="998">
        <f t="shared" si="1"/>
      </c>
      <c r="S11" s="1218"/>
      <c r="T11" s="997">
        <v>44</v>
      </c>
      <c r="U11" s="997">
        <v>61</v>
      </c>
      <c r="V11" s="997" t="str">
        <f>F11</f>
        <v>U998</v>
      </c>
      <c r="W11" s="998">
        <f>IF(ISNUMBER(G11),ROUND(G11,0),"")</f>
      </c>
    </row>
    <row r="12" spans="1:23" ht="15" customHeight="1" thickBot="1">
      <c r="A12" s="996" t="s">
        <v>552</v>
      </c>
      <c r="B12" s="1182" t="s">
        <v>553</v>
      </c>
      <c r="C12" s="1181"/>
      <c r="D12" s="1215"/>
      <c r="E12" s="1187" t="s">
        <v>801</v>
      </c>
      <c r="F12" s="1198"/>
      <c r="G12" s="1188">
        <f>SUM(G7:G11)</f>
        <v>0</v>
      </c>
      <c r="H12" s="1413"/>
      <c r="I12" s="1219"/>
      <c r="J12" s="1219"/>
      <c r="K12" s="1219"/>
      <c r="L12" s="1219"/>
      <c r="M12" s="1212"/>
      <c r="N12" s="1212"/>
      <c r="O12" s="997">
        <v>44</v>
      </c>
      <c r="P12" s="997">
        <v>7</v>
      </c>
      <c r="Q12" s="997" t="str">
        <f t="shared" si="0"/>
        <v>F90C</v>
      </c>
      <c r="R12" s="998">
        <f t="shared" si="1"/>
      </c>
      <c r="S12" s="1218"/>
      <c r="T12" s="1218" t="s">
        <v>586</v>
      </c>
      <c r="U12" s="997"/>
      <c r="V12" s="997"/>
      <c r="W12" s="998"/>
    </row>
    <row r="13" spans="1:23" ht="15" customHeight="1" thickBot="1">
      <c r="A13" s="996" t="s">
        <v>520</v>
      </c>
      <c r="B13" s="1182" t="s">
        <v>521</v>
      </c>
      <c r="C13" s="1181"/>
      <c r="D13" s="1215"/>
      <c r="E13" s="1199" t="s">
        <v>627</v>
      </c>
      <c r="F13" s="1200"/>
      <c r="G13" s="1009">
        <f>G12</f>
        <v>0</v>
      </c>
      <c r="H13" s="1413"/>
      <c r="I13" s="1219"/>
      <c r="J13" s="1219"/>
      <c r="K13" s="1219"/>
      <c r="L13" s="1219"/>
      <c r="M13" s="1212"/>
      <c r="N13" s="1212"/>
      <c r="O13" s="997">
        <v>44</v>
      </c>
      <c r="P13" s="997">
        <v>7</v>
      </c>
      <c r="Q13" s="997" t="str">
        <f t="shared" si="0"/>
        <v>F998</v>
      </c>
      <c r="R13" s="998">
        <f t="shared" si="1"/>
      </c>
      <c r="S13" s="1218"/>
      <c r="T13" s="997"/>
      <c r="U13" s="997"/>
      <c r="V13" s="997"/>
      <c r="W13" s="998"/>
    </row>
    <row r="14" spans="1:23" ht="15" customHeight="1" thickBot="1">
      <c r="A14" s="1193" t="s">
        <v>380</v>
      </c>
      <c r="B14" s="1194"/>
      <c r="C14" s="1188">
        <f>SUM(C7:C13)</f>
        <v>0</v>
      </c>
      <c r="D14" s="1215"/>
      <c r="E14" s="1220"/>
      <c r="F14" s="974"/>
      <c r="G14" s="1221"/>
      <c r="H14" s="1413"/>
      <c r="I14" s="1219"/>
      <c r="J14" s="1219"/>
      <c r="K14" s="1219"/>
      <c r="L14" s="1219"/>
      <c r="M14" s="1212"/>
      <c r="N14" s="1212"/>
      <c r="O14" s="1006"/>
      <c r="P14" s="1006"/>
      <c r="Q14" s="1233"/>
      <c r="R14" s="1218"/>
      <c r="S14" s="1218"/>
      <c r="U14" s="1218"/>
      <c r="V14" s="1218"/>
      <c r="W14" s="1218"/>
    </row>
    <row r="15" spans="1:23" ht="15" customHeight="1">
      <c r="A15" s="1003" t="s">
        <v>381</v>
      </c>
      <c r="B15" s="1004"/>
      <c r="C15" s="1005"/>
      <c r="D15" s="1215"/>
      <c r="E15" s="1234"/>
      <c r="F15" s="974"/>
      <c r="G15" s="1221"/>
      <c r="H15" s="1413"/>
      <c r="I15" s="1219"/>
      <c r="J15" s="1219"/>
      <c r="K15" s="1219"/>
      <c r="L15" s="1219"/>
      <c r="M15" s="1212"/>
      <c r="N15" s="1212"/>
      <c r="O15" s="1006"/>
      <c r="P15" s="1006"/>
      <c r="Q15" s="1233"/>
      <c r="R15" s="1218"/>
      <c r="S15" s="1218"/>
      <c r="T15" s="1218"/>
      <c r="U15" s="1218"/>
      <c r="V15" s="1218"/>
      <c r="W15" s="1218"/>
    </row>
    <row r="16" spans="1:23" ht="15" customHeight="1" thickBot="1">
      <c r="A16" s="996" t="s">
        <v>522</v>
      </c>
      <c r="B16" s="985" t="s">
        <v>523</v>
      </c>
      <c r="C16" s="1181"/>
      <c r="D16" s="1215"/>
      <c r="E16" s="1220"/>
      <c r="F16" s="974"/>
      <c r="G16" s="1221"/>
      <c r="H16" s="1414"/>
      <c r="I16" s="1219"/>
      <c r="J16" s="1219"/>
      <c r="K16" s="1219"/>
      <c r="L16" s="1219"/>
      <c r="M16" s="1212"/>
      <c r="N16" s="1212"/>
      <c r="O16" s="997">
        <v>44</v>
      </c>
      <c r="P16" s="997">
        <v>9</v>
      </c>
      <c r="Q16" s="997" t="str">
        <f>B16</f>
        <v>F50H</v>
      </c>
      <c r="R16" s="998">
        <f>IF(ISNUMBER(C16),ROUND(C16,0),"")</f>
      </c>
      <c r="S16" s="1218"/>
      <c r="T16" s="1218"/>
      <c r="U16" s="1218"/>
      <c r="V16" s="1218"/>
      <c r="W16" s="1218"/>
    </row>
    <row r="17" spans="1:23" ht="15" customHeight="1" thickBot="1">
      <c r="A17" s="996" t="s">
        <v>863</v>
      </c>
      <c r="B17" s="985" t="s">
        <v>524</v>
      </c>
      <c r="C17" s="1181"/>
      <c r="D17" s="1215"/>
      <c r="E17" s="1220"/>
      <c r="F17" s="974"/>
      <c r="G17" s="1221"/>
      <c r="H17" s="1002" t="s">
        <v>788</v>
      </c>
      <c r="I17" s="1219"/>
      <c r="J17" s="1219"/>
      <c r="K17" s="1219"/>
      <c r="L17" s="1219"/>
      <c r="M17" s="1212"/>
      <c r="N17" s="1212"/>
      <c r="O17" s="997">
        <v>44</v>
      </c>
      <c r="P17" s="997">
        <v>9</v>
      </c>
      <c r="Q17" s="997" t="str">
        <f aca="true" t="shared" si="2" ref="Q17:Q25">B17</f>
        <v>F51H</v>
      </c>
      <c r="R17" s="998">
        <f aca="true" t="shared" si="3" ref="R17:R25">IF(ISNUMBER(C17),ROUND(C17,0),"")</f>
      </c>
      <c r="S17" s="1218"/>
      <c r="T17" s="1218"/>
      <c r="U17" s="1218"/>
      <c r="V17" s="1218"/>
      <c r="W17" s="1218"/>
    </row>
    <row r="18" spans="1:23" ht="15" customHeight="1">
      <c r="A18" s="996" t="s">
        <v>554</v>
      </c>
      <c r="B18" s="985" t="s">
        <v>555</v>
      </c>
      <c r="C18" s="1181"/>
      <c r="D18" s="1215"/>
      <c r="E18" s="1220"/>
      <c r="F18" s="974"/>
      <c r="G18" s="1221"/>
      <c r="H18" s="1412" t="str">
        <f>IF(C35=0,"OK",IF(AND(C13/C35&lt;0.1,C24/C35&lt;0.1),"OK","Attenzione: la voce altre risorse fisse e/o la voce altre risorse variabili risulta maggiore del 10% del fondo, è necessario giustificare"))</f>
        <v>OK</v>
      </c>
      <c r="I18" s="1219"/>
      <c r="J18" s="1219"/>
      <c r="K18" s="1219"/>
      <c r="L18" s="1219"/>
      <c r="M18" s="1212"/>
      <c r="N18" s="1212"/>
      <c r="O18" s="997">
        <v>44</v>
      </c>
      <c r="P18" s="997">
        <v>9</v>
      </c>
      <c r="Q18" s="997" t="str">
        <f t="shared" si="2"/>
        <v>F92C</v>
      </c>
      <c r="R18" s="998">
        <f t="shared" si="3"/>
      </c>
      <c r="S18" s="1218"/>
      <c r="T18" s="1218"/>
      <c r="U18" s="1218"/>
      <c r="V18" s="1218"/>
      <c r="W18" s="1218"/>
    </row>
    <row r="19" spans="1:23" ht="15" customHeight="1">
      <c r="A19" s="996" t="s">
        <v>556</v>
      </c>
      <c r="B19" s="985" t="s">
        <v>557</v>
      </c>
      <c r="C19" s="1181"/>
      <c r="D19" s="1215"/>
      <c r="E19" s="1220"/>
      <c r="F19" s="974"/>
      <c r="G19" s="1221"/>
      <c r="H19" s="1413"/>
      <c r="I19" s="1018"/>
      <c r="J19" s="1018"/>
      <c r="K19" s="1018"/>
      <c r="L19" s="1018"/>
      <c r="M19" s="1212"/>
      <c r="N19" s="1212"/>
      <c r="O19" s="997">
        <v>44</v>
      </c>
      <c r="P19" s="997">
        <v>9</v>
      </c>
      <c r="Q19" s="997" t="str">
        <f t="shared" si="2"/>
        <v>F93C</v>
      </c>
      <c r="R19" s="998">
        <f t="shared" si="3"/>
      </c>
      <c r="S19" s="1218"/>
      <c r="T19" s="1218"/>
      <c r="U19" s="1218"/>
      <c r="V19" s="1218"/>
      <c r="W19" s="1218"/>
    </row>
    <row r="20" spans="1:23" ht="15" customHeight="1">
      <c r="A20" s="996" t="s">
        <v>558</v>
      </c>
      <c r="B20" s="985" t="s">
        <v>559</v>
      </c>
      <c r="C20" s="1181"/>
      <c r="D20" s="1215"/>
      <c r="E20" s="1220"/>
      <c r="F20" s="974"/>
      <c r="G20" s="1221"/>
      <c r="H20" s="1413"/>
      <c r="I20" s="1018"/>
      <c r="J20" s="1018"/>
      <c r="K20" s="1018"/>
      <c r="L20" s="1018"/>
      <c r="M20" s="1212"/>
      <c r="N20" s="1212"/>
      <c r="O20" s="997">
        <v>44</v>
      </c>
      <c r="P20" s="997">
        <v>9</v>
      </c>
      <c r="Q20" s="997" t="str">
        <f t="shared" si="2"/>
        <v>F94C</v>
      </c>
      <c r="R20" s="998">
        <f t="shared" si="3"/>
      </c>
      <c r="S20" s="1218"/>
      <c r="T20" s="1218"/>
      <c r="U20" s="1218"/>
      <c r="V20" s="1218"/>
      <c r="W20" s="1218"/>
    </row>
    <row r="21" spans="1:23" ht="15" customHeight="1">
      <c r="A21" s="996" t="s">
        <v>560</v>
      </c>
      <c r="B21" s="985" t="s">
        <v>561</v>
      </c>
      <c r="C21" s="1181"/>
      <c r="D21" s="1215"/>
      <c r="E21" s="1220"/>
      <c r="F21" s="974"/>
      <c r="G21" s="1221"/>
      <c r="H21" s="1413"/>
      <c r="I21" s="1219"/>
      <c r="J21" s="1219"/>
      <c r="K21" s="1219"/>
      <c r="L21" s="1219"/>
      <c r="M21" s="974"/>
      <c r="N21" s="974"/>
      <c r="O21" s="997">
        <v>44</v>
      </c>
      <c r="P21" s="997">
        <v>9</v>
      </c>
      <c r="Q21" s="997" t="str">
        <f t="shared" si="2"/>
        <v>F91C</v>
      </c>
      <c r="R21" s="998">
        <f t="shared" si="3"/>
      </c>
      <c r="S21" s="1218"/>
      <c r="T21" s="1218"/>
      <c r="U21" s="1218"/>
      <c r="V21" s="1218"/>
      <c r="W21" s="1218"/>
    </row>
    <row r="22" spans="1:23" ht="15" customHeight="1">
      <c r="A22" s="996" t="s">
        <v>562</v>
      </c>
      <c r="B22" s="985" t="s">
        <v>563</v>
      </c>
      <c r="C22" s="1181"/>
      <c r="D22" s="1215"/>
      <c r="E22" s="1220"/>
      <c r="F22" s="974"/>
      <c r="G22" s="1221"/>
      <c r="H22" s="1413"/>
      <c r="I22" s="1219"/>
      <c r="J22" s="1219"/>
      <c r="K22" s="1219"/>
      <c r="L22" s="1219"/>
      <c r="M22" s="974"/>
      <c r="N22" s="974"/>
      <c r="O22" s="997">
        <v>44</v>
      </c>
      <c r="P22" s="997">
        <v>9</v>
      </c>
      <c r="Q22" s="997" t="str">
        <f t="shared" si="2"/>
        <v>F63E</v>
      </c>
      <c r="R22" s="998">
        <f t="shared" si="3"/>
      </c>
      <c r="S22" s="1218"/>
      <c r="T22" s="1218"/>
      <c r="U22" s="1218"/>
      <c r="V22" s="1218"/>
      <c r="W22" s="1218"/>
    </row>
    <row r="23" spans="1:23" ht="15" customHeight="1" thickBot="1">
      <c r="A23" s="996" t="s">
        <v>625</v>
      </c>
      <c r="B23" s="985" t="s">
        <v>626</v>
      </c>
      <c r="C23" s="1181"/>
      <c r="D23" s="1215"/>
      <c r="E23" s="1220"/>
      <c r="F23" s="974"/>
      <c r="G23" s="1221"/>
      <c r="H23" s="1414"/>
      <c r="I23" s="1219"/>
      <c r="J23" s="1219"/>
      <c r="K23" s="1219"/>
      <c r="L23" s="1219"/>
      <c r="M23" s="974"/>
      <c r="N23" s="974"/>
      <c r="O23" s="997">
        <v>44</v>
      </c>
      <c r="P23" s="997">
        <v>9</v>
      </c>
      <c r="Q23" s="997" t="str">
        <f t="shared" si="2"/>
        <v>F96H</v>
      </c>
      <c r="R23" s="998">
        <f t="shared" si="3"/>
      </c>
      <c r="S23" s="1218"/>
      <c r="T23" s="1218"/>
      <c r="U23" s="1218"/>
      <c r="V23" s="1218"/>
      <c r="W23" s="1218"/>
    </row>
    <row r="24" spans="1:23" ht="15" customHeight="1">
      <c r="A24" s="996" t="s">
        <v>533</v>
      </c>
      <c r="B24" s="985" t="s">
        <v>534</v>
      </c>
      <c r="C24" s="1181"/>
      <c r="D24" s="1215"/>
      <c r="E24" s="1012"/>
      <c r="F24" s="1013"/>
      <c r="G24" s="1221"/>
      <c r="H24" s="1235"/>
      <c r="I24" s="1219"/>
      <c r="J24" s="1219"/>
      <c r="K24" s="1219"/>
      <c r="L24" s="1219"/>
      <c r="M24" s="974"/>
      <c r="N24" s="974"/>
      <c r="O24" s="997">
        <v>44</v>
      </c>
      <c r="P24" s="997">
        <v>9</v>
      </c>
      <c r="Q24" s="997" t="str">
        <f t="shared" si="2"/>
        <v>F995</v>
      </c>
      <c r="R24" s="998">
        <f t="shared" si="3"/>
      </c>
      <c r="S24" s="1218"/>
      <c r="T24" s="1218"/>
      <c r="U24" s="1218"/>
      <c r="V24" s="1218"/>
      <c r="W24" s="1218"/>
    </row>
    <row r="25" spans="1:23" ht="15" customHeight="1">
      <c r="A25" s="996" t="s">
        <v>535</v>
      </c>
      <c r="B25" s="985" t="s">
        <v>536</v>
      </c>
      <c r="C25" s="1181"/>
      <c r="D25" s="1215"/>
      <c r="E25" s="1012"/>
      <c r="F25" s="1013"/>
      <c r="G25" s="1221"/>
      <c r="H25" s="1235"/>
      <c r="I25" s="1219"/>
      <c r="J25" s="1219"/>
      <c r="K25" s="1219"/>
      <c r="L25" s="1219"/>
      <c r="M25" s="974"/>
      <c r="N25" s="974"/>
      <c r="O25" s="997">
        <v>44</v>
      </c>
      <c r="P25" s="997">
        <v>9</v>
      </c>
      <c r="Q25" s="997" t="str">
        <f t="shared" si="2"/>
        <v>F999</v>
      </c>
      <c r="R25" s="998">
        <f t="shared" si="3"/>
      </c>
      <c r="S25" s="1218"/>
      <c r="T25" s="1218"/>
      <c r="U25" s="1218"/>
      <c r="V25" s="1218"/>
      <c r="W25" s="1218"/>
    </row>
    <row r="26" spans="1:23" ht="15" customHeight="1" thickBot="1">
      <c r="A26" s="1187" t="s">
        <v>382</v>
      </c>
      <c r="B26" s="1194"/>
      <c r="C26" s="1188">
        <f>SUM(C16:C25)</f>
        <v>0</v>
      </c>
      <c r="D26" s="1224"/>
      <c r="E26" s="1012"/>
      <c r="F26" s="1013"/>
      <c r="G26" s="1221"/>
      <c r="H26" s="1235"/>
      <c r="I26" s="1219"/>
      <c r="J26" s="1219"/>
      <c r="K26" s="1219"/>
      <c r="L26" s="1219"/>
      <c r="M26" s="974"/>
      <c r="N26" s="974"/>
      <c r="O26" s="997"/>
      <c r="P26" s="997"/>
      <c r="Q26" s="997"/>
      <c r="R26" s="998"/>
      <c r="S26" s="1218"/>
      <c r="T26" s="1218"/>
      <c r="U26" s="1218"/>
      <c r="V26" s="1218"/>
      <c r="W26" s="1218"/>
    </row>
    <row r="27" spans="1:23" ht="15" customHeight="1">
      <c r="A27" s="1162" t="s">
        <v>780</v>
      </c>
      <c r="B27" s="1163"/>
      <c r="C27" s="1164"/>
      <c r="D27" s="1225"/>
      <c r="E27" s="1012"/>
      <c r="F27" s="1013"/>
      <c r="G27" s="1221"/>
      <c r="H27" s="1235"/>
      <c r="I27" s="1219"/>
      <c r="J27" s="1219"/>
      <c r="K27" s="1219"/>
      <c r="L27" s="1219"/>
      <c r="M27" s="974"/>
      <c r="N27" s="974"/>
      <c r="S27" s="1218"/>
      <c r="T27" s="1218"/>
      <c r="U27" s="1218"/>
      <c r="V27" s="1218"/>
      <c r="W27" s="1218"/>
    </row>
    <row r="28" spans="1:23" ht="15" customHeight="1">
      <c r="A28" s="996" t="s">
        <v>781</v>
      </c>
      <c r="B28" s="985" t="s">
        <v>782</v>
      </c>
      <c r="C28" s="1181"/>
      <c r="D28" s="1225"/>
      <c r="E28" s="1012"/>
      <c r="F28" s="1013"/>
      <c r="G28" s="1221"/>
      <c r="H28" s="1235"/>
      <c r="I28" s="1219"/>
      <c r="J28" s="1219"/>
      <c r="K28" s="1219"/>
      <c r="L28" s="1219"/>
      <c r="M28" s="974"/>
      <c r="N28" s="974"/>
      <c r="O28" s="997">
        <v>44</v>
      </c>
      <c r="P28" s="997">
        <v>81</v>
      </c>
      <c r="Q28" s="997" t="str">
        <f>B28</f>
        <v>F02P</v>
      </c>
      <c r="R28" s="998">
        <f>IF(ISNUMBER(C28),ROUND(C28,0),"")</f>
      </c>
      <c r="S28" s="1218"/>
      <c r="T28" s="1218"/>
      <c r="U28" s="1218"/>
      <c r="V28" s="1218"/>
      <c r="W28" s="1218"/>
    </row>
    <row r="29" spans="1:23" ht="15" customHeight="1">
      <c r="A29" s="996" t="s">
        <v>649</v>
      </c>
      <c r="B29" s="985" t="s">
        <v>650</v>
      </c>
      <c r="C29" s="1181"/>
      <c r="D29" s="1225"/>
      <c r="E29" s="1012"/>
      <c r="F29" s="1013"/>
      <c r="G29" s="1221"/>
      <c r="H29" s="1235"/>
      <c r="I29" s="1219"/>
      <c r="J29" s="1219"/>
      <c r="K29" s="1219"/>
      <c r="L29" s="1219"/>
      <c r="M29" s="974"/>
      <c r="N29" s="974"/>
      <c r="O29" s="997">
        <v>44</v>
      </c>
      <c r="P29" s="997">
        <v>81</v>
      </c>
      <c r="Q29" s="997" t="str">
        <f>B29</f>
        <v>F27I</v>
      </c>
      <c r="R29" s="998">
        <f>IF(ISNUMBER(C29),ROUND(C29,0),"")</f>
      </c>
      <c r="S29" s="1218"/>
      <c r="T29" s="1218"/>
      <c r="U29" s="1218"/>
      <c r="V29" s="1218"/>
      <c r="W29" s="1218"/>
    </row>
    <row r="30" spans="1:23" ht="15" customHeight="1">
      <c r="A30" s="1242" t="s">
        <v>798</v>
      </c>
      <c r="B30" s="1186" t="s">
        <v>797</v>
      </c>
      <c r="C30" s="1181"/>
      <c r="D30" s="1225"/>
      <c r="E30" s="1012"/>
      <c r="F30" s="1013"/>
      <c r="G30" s="1221"/>
      <c r="H30" s="1235"/>
      <c r="I30" s="1219"/>
      <c r="J30" s="1219"/>
      <c r="K30" s="1219"/>
      <c r="L30" s="1219"/>
      <c r="M30" s="974"/>
      <c r="N30" s="974"/>
      <c r="O30" s="997">
        <v>44</v>
      </c>
      <c r="P30" s="997">
        <v>81</v>
      </c>
      <c r="Q30" s="997" t="str">
        <f>B30</f>
        <v>F00P</v>
      </c>
      <c r="R30" s="998">
        <f>IF(ISNUMBER(C30),ROUND(C30,0),"")</f>
      </c>
      <c r="S30" s="1218"/>
      <c r="T30" s="1218"/>
      <c r="U30" s="1218"/>
      <c r="V30" s="1218"/>
      <c r="W30" s="1218"/>
    </row>
    <row r="31" spans="1:23" ht="15" customHeight="1">
      <c r="A31" s="996" t="s">
        <v>864</v>
      </c>
      <c r="B31" s="1183" t="s">
        <v>836</v>
      </c>
      <c r="C31" s="1181"/>
      <c r="D31" s="1224"/>
      <c r="E31" s="1012"/>
      <c r="F31" s="1013"/>
      <c r="G31" s="1221"/>
      <c r="H31" s="1235"/>
      <c r="I31" s="1219"/>
      <c r="J31" s="1219"/>
      <c r="K31" s="1219"/>
      <c r="L31" s="1219"/>
      <c r="M31" s="974"/>
      <c r="N31" s="974"/>
      <c r="O31" s="997">
        <v>44</v>
      </c>
      <c r="P31" s="997">
        <v>81</v>
      </c>
      <c r="Q31" s="997" t="str">
        <f>B31</f>
        <v>F01S</v>
      </c>
      <c r="R31" s="998">
        <f>IF(ISNUMBER(C31),ROUND(C31,0),"")</f>
      </c>
      <c r="S31" s="1218"/>
      <c r="T31" s="1218"/>
      <c r="U31" s="1218"/>
      <c r="V31" s="1218"/>
      <c r="W31" s="1218"/>
    </row>
    <row r="32" spans="1:23" ht="15" customHeight="1">
      <c r="A32" s="1242" t="s">
        <v>795</v>
      </c>
      <c r="B32" s="1186" t="s">
        <v>796</v>
      </c>
      <c r="C32" s="1226"/>
      <c r="D32" s="1215"/>
      <c r="E32" s="1012"/>
      <c r="F32" s="1013"/>
      <c r="G32" s="1221"/>
      <c r="H32" s="1235"/>
      <c r="I32" s="1219"/>
      <c r="J32" s="1219"/>
      <c r="K32" s="1219"/>
      <c r="L32" s="1219"/>
      <c r="M32" s="974"/>
      <c r="N32" s="974"/>
      <c r="O32" s="997">
        <v>44</v>
      </c>
      <c r="P32" s="997">
        <v>81</v>
      </c>
      <c r="Q32" s="997" t="str">
        <f>B32</f>
        <v>F01P</v>
      </c>
      <c r="R32" s="998">
        <f>IF(ISNUMBER(C32),ROUND(C32,0),"")</f>
      </c>
      <c r="S32" s="1218"/>
      <c r="T32" s="1218"/>
      <c r="U32" s="1218"/>
      <c r="V32" s="1218"/>
      <c r="W32" s="1218"/>
    </row>
    <row r="33" spans="1:23" ht="15" customHeight="1">
      <c r="A33" s="1195" t="s">
        <v>783</v>
      </c>
      <c r="B33" s="1170"/>
      <c r="C33" s="1241">
        <f>SUM(C28:C32)</f>
        <v>0</v>
      </c>
      <c r="D33" s="1237"/>
      <c r="E33" s="1012"/>
      <c r="F33" s="1013"/>
      <c r="G33" s="1221"/>
      <c r="H33" s="1219"/>
      <c r="I33" s="1219"/>
      <c r="J33" s="1219"/>
      <c r="K33" s="1219"/>
      <c r="L33" s="1219"/>
      <c r="M33" s="974"/>
      <c r="N33" s="974"/>
      <c r="O33" s="1218" t="s">
        <v>586</v>
      </c>
      <c r="S33" s="1218"/>
      <c r="T33" s="1218"/>
      <c r="U33" s="1218"/>
      <c r="V33" s="1218"/>
      <c r="W33" s="1218"/>
    </row>
    <row r="34" spans="1:23" ht="15" customHeight="1" thickBot="1">
      <c r="A34" s="1196" t="s">
        <v>627</v>
      </c>
      <c r="B34" s="1008"/>
      <c r="C34" s="1009">
        <f>C14+C26-C33</f>
        <v>0</v>
      </c>
      <c r="D34" s="1237"/>
      <c r="E34" s="1236"/>
      <c r="F34" s="1204"/>
      <c r="G34" s="1227"/>
      <c r="H34" s="1219"/>
      <c r="I34" s="1219"/>
      <c r="J34" s="1219"/>
      <c r="K34" s="1219"/>
      <c r="L34" s="1219"/>
      <c r="M34" s="974"/>
      <c r="N34" s="974"/>
      <c r="S34" s="1218"/>
      <c r="T34" s="1218"/>
      <c r="U34" s="1218"/>
      <c r="V34" s="1218"/>
      <c r="W34" s="1218"/>
    </row>
    <row r="35" spans="1:23" ht="15" customHeight="1" thickBot="1">
      <c r="A35" s="1166" t="s">
        <v>784</v>
      </c>
      <c r="B35" s="1197"/>
      <c r="C35" s="1165">
        <f>C34</f>
        <v>0</v>
      </c>
      <c r="D35" s="1237"/>
      <c r="E35" s="1166" t="s">
        <v>787</v>
      </c>
      <c r="F35" s="1229"/>
      <c r="G35" s="1165">
        <f>G13</f>
        <v>0</v>
      </c>
      <c r="H35" s="1219"/>
      <c r="I35" s="1219"/>
      <c r="J35" s="1219"/>
      <c r="K35" s="1219"/>
      <c r="L35" s="1219"/>
      <c r="M35" s="974"/>
      <c r="N35" s="975"/>
      <c r="S35" s="1218"/>
      <c r="T35" s="1218"/>
      <c r="U35" s="1218"/>
      <c r="V35" s="1218"/>
      <c r="W35" s="1218"/>
    </row>
    <row r="36" spans="1:7" ht="15" customHeight="1">
      <c r="A36" s="975"/>
      <c r="C36" s="975"/>
      <c r="E36" s="975"/>
      <c r="F36" s="975"/>
      <c r="G36" s="974"/>
    </row>
    <row r="37" spans="1:7" ht="11.25">
      <c r="A37" s="976" t="s">
        <v>865</v>
      </c>
      <c r="C37" s="975"/>
      <c r="E37" s="975"/>
      <c r="F37" s="975"/>
      <c r="G37" s="974"/>
    </row>
  </sheetData>
  <sheetProtection password="EA98" sheet="1" formatColumns="0" selectLockedCells="1"/>
  <mergeCells count="3">
    <mergeCell ref="H4:H9"/>
    <mergeCell ref="H11:H16"/>
    <mergeCell ref="H18:H23"/>
  </mergeCells>
  <dataValidations count="2">
    <dataValidation type="whole" allowBlank="1" showInputMessage="1" showErrorMessage="1" errorTitle="ERRORE NEL DATO IMMESSO" error="INSERIRE SOLO NUMERI INTERI" sqref="C7:C13 G7:G11 C16:C25 C28:C32">
      <formula1>0</formula1>
      <formula2>999999999999</formula2>
    </dataValidation>
    <dataValidation type="whole" allowBlank="1" showInputMessage="1" showErrorMessage="1" errorTitle="ERRORE NEL DATO IMMESSO" error="INSERIRE SOLO NUMERI INTERI" sqref="C14 C26:C27 C33:C34 G12:G13 G24:G33">
      <formula1>-999999999999</formula1>
      <formula2>999999999999</formula2>
    </dataValidation>
  </dataValidations>
  <printOptions horizontalCentered="1" verticalCentered="1"/>
  <pageMargins left="0.3937007874015748" right="0.3937007874015748" top="0.3937007874015748" bottom="0.3937007874015748" header="0.5118110236220472" footer="0.1968503937007874"/>
  <pageSetup horizontalDpi="300" verticalDpi="300" orientation="landscape" paperSize="9" scale="80" r:id="rId2"/>
  <drawing r:id="rId1"/>
</worksheet>
</file>

<file path=xl/worksheets/sheet2.xml><?xml version="1.0" encoding="utf-8"?>
<worksheet xmlns="http://schemas.openxmlformats.org/spreadsheetml/2006/main" xmlns:r="http://schemas.openxmlformats.org/officeDocument/2006/relationships">
  <sheetPr codeName="Foglio5">
    <tabColor indexed="11"/>
  </sheetPr>
  <dimension ref="A1:I37"/>
  <sheetViews>
    <sheetView zoomScale="75" zoomScaleNormal="75" zoomScalePageLayoutView="0" workbookViewId="0" topLeftCell="A1">
      <selection activeCell="G7" sqref="G7"/>
    </sheetView>
  </sheetViews>
  <sheetFormatPr defaultColWidth="12.83203125" defaultRowHeight="10.5"/>
  <cols>
    <col min="1" max="1" width="6.83203125" style="561" customWidth="1"/>
    <col min="2" max="2" width="25.83203125" style="562" customWidth="1"/>
    <col min="3" max="3" width="5.5" style="562" customWidth="1"/>
    <col min="4" max="4" width="56.16015625" style="562" customWidth="1"/>
    <col min="5" max="5" width="22.5" style="562" customWidth="1"/>
    <col min="6" max="6" width="23.16015625" style="562" customWidth="1"/>
    <col min="7" max="7" width="21.5" style="562" customWidth="1"/>
    <col min="8" max="8" width="25.5" style="620" customWidth="1"/>
    <col min="9" max="9" width="0" style="620" hidden="1" customWidth="1"/>
    <col min="10" max="16384" width="12.83203125" style="620" customWidth="1"/>
  </cols>
  <sheetData>
    <row r="1" spans="8:9" ht="54.75" customHeight="1">
      <c r="H1" s="584" t="s">
        <v>312</v>
      </c>
      <c r="I1" s="380"/>
    </row>
    <row r="2" spans="2:9" ht="54.75" customHeight="1">
      <c r="B2" s="1312">
        <f>IF(SI_1!G56&gt;0,"LA COMPILAZIONE DI QUESTA APPENDICE E' OBBLIGATORIA","")</f>
      </c>
      <c r="C2" s="1312"/>
      <c r="D2" s="1312"/>
      <c r="E2" s="1312"/>
      <c r="F2" s="1312"/>
      <c r="G2" s="1312"/>
      <c r="H2" s="584"/>
      <c r="I2" s="380"/>
    </row>
    <row r="3" spans="1:9" ht="26.25" customHeight="1" thickBot="1">
      <c r="A3" s="580"/>
      <c r="B3" s="576"/>
      <c r="C3" s="576"/>
      <c r="D3" s="577" t="str">
        <f>'t1'!A1</f>
        <v>CNEL - anno 2018</v>
      </c>
      <c r="E3" s="576"/>
      <c r="F3" s="576"/>
      <c r="G3" s="576"/>
      <c r="H3" s="585"/>
      <c r="I3" s="380"/>
    </row>
    <row r="4" spans="2:9" ht="13.5">
      <c r="B4" s="563"/>
      <c r="C4" s="563"/>
      <c r="D4" s="563"/>
      <c r="E4" s="563"/>
      <c r="F4" s="563"/>
      <c r="G4" s="563"/>
      <c r="H4" s="586"/>
      <c r="I4" s="380"/>
    </row>
    <row r="5" spans="1:9" ht="15.75">
      <c r="A5" s="564"/>
      <c r="B5" s="565"/>
      <c r="C5" s="566"/>
      <c r="D5" s="565"/>
      <c r="E5" s="565"/>
      <c r="G5" s="587" t="s">
        <v>72</v>
      </c>
      <c r="H5" s="586"/>
      <c r="I5" s="380"/>
    </row>
    <row r="6" spans="1:9" ht="17.25" customHeight="1">
      <c r="A6" s="564" t="s">
        <v>288</v>
      </c>
      <c r="B6" s="567" t="s">
        <v>329</v>
      </c>
      <c r="C6" s="568"/>
      <c r="G6" s="575"/>
      <c r="H6" s="586"/>
      <c r="I6" s="380"/>
    </row>
    <row r="7" spans="1:9" ht="20.25" customHeight="1">
      <c r="A7" s="564"/>
      <c r="C7" s="568"/>
      <c r="D7" s="565" t="s">
        <v>63</v>
      </c>
      <c r="G7" s="592"/>
      <c r="H7" s="1313">
        <f>IF(SUM(G7:G9)&lt;&gt;SI_1!G56,"LA SOMMA DEI VALORI DEVE ESSERE UGUALE A "&amp;SI_1!G56,"")</f>
      </c>
      <c r="I7" s="380"/>
    </row>
    <row r="8" spans="1:9" ht="20.25" customHeight="1">
      <c r="A8" s="564"/>
      <c r="C8" s="568"/>
      <c r="D8" s="565" t="s">
        <v>5</v>
      </c>
      <c r="G8" s="592"/>
      <c r="H8" s="1313"/>
      <c r="I8" s="380"/>
    </row>
    <row r="9" spans="1:9" ht="20.25" customHeight="1">
      <c r="A9" s="564"/>
      <c r="C9" s="568"/>
      <c r="D9" s="565" t="s">
        <v>4</v>
      </c>
      <c r="G9" s="592"/>
      <c r="H9" s="1313"/>
      <c r="I9" s="597"/>
    </row>
    <row r="10" spans="1:9" ht="17.25" customHeight="1">
      <c r="A10" s="564"/>
      <c r="B10" s="565"/>
      <c r="C10" s="566"/>
      <c r="D10" s="565"/>
      <c r="E10" s="565"/>
      <c r="G10" s="572"/>
      <c r="H10" s="586"/>
      <c r="I10" s="380"/>
    </row>
    <row r="11" spans="1:9" ht="20.25" customHeight="1">
      <c r="A11" s="564" t="s">
        <v>289</v>
      </c>
      <c r="B11" s="588" t="s">
        <v>337</v>
      </c>
      <c r="C11" s="566"/>
      <c r="D11" s="565"/>
      <c r="E11" s="565"/>
      <c r="G11" s="592"/>
      <c r="H11" s="1315">
        <f>IF(SI_1!G56=0,"",IF(AND(G11&lt;=SI_1!G56,G11&gt;=0),"","IL VALORE INSERITO DEVE ESSERE &lt;= "&amp;SI_1!G56))</f>
      </c>
      <c r="I11" s="380"/>
    </row>
    <row r="12" spans="1:9" ht="17.25" customHeight="1">
      <c r="A12" s="564"/>
      <c r="B12" s="565"/>
      <c r="C12" s="566"/>
      <c r="D12" s="565"/>
      <c r="E12" s="565"/>
      <c r="G12" s="572"/>
      <c r="H12" s="1316"/>
      <c r="I12" s="380"/>
    </row>
    <row r="13" spans="1:9" ht="15" customHeight="1">
      <c r="A13" s="564" t="s">
        <v>292</v>
      </c>
      <c r="B13" s="569" t="s">
        <v>64</v>
      </c>
      <c r="C13" s="566"/>
      <c r="D13" s="565"/>
      <c r="E13" s="565"/>
      <c r="G13" s="572"/>
      <c r="H13" s="586"/>
      <c r="I13" s="380"/>
    </row>
    <row r="14" spans="1:9" ht="20.25" customHeight="1">
      <c r="A14" s="570"/>
      <c r="C14" s="566"/>
      <c r="D14" s="565" t="s">
        <v>65</v>
      </c>
      <c r="E14" s="565"/>
      <c r="G14" s="592"/>
      <c r="H14" s="1314">
        <f>IF(SUM(G14:G17)&lt;&gt;SI_1!G56,"LA SOMMA DEI VALORI DEVE ESSERE UGUALE A "&amp;SI_1!G56,"")</f>
      </c>
      <c r="I14" s="380"/>
    </row>
    <row r="15" spans="1:9" ht="20.25" customHeight="1">
      <c r="A15" s="570"/>
      <c r="C15" s="571"/>
      <c r="D15" s="572" t="s">
        <v>66</v>
      </c>
      <c r="E15" s="572"/>
      <c r="G15" s="592"/>
      <c r="H15" s="1314"/>
      <c r="I15" s="380"/>
    </row>
    <row r="16" spans="1:9" ht="20.25" customHeight="1">
      <c r="A16" s="573"/>
      <c r="C16" s="574"/>
      <c r="D16" s="574" t="s">
        <v>67</v>
      </c>
      <c r="E16" s="574"/>
      <c r="G16" s="593"/>
      <c r="H16" s="1314"/>
      <c r="I16" s="380"/>
    </row>
    <row r="17" spans="1:9" ht="20.25" customHeight="1">
      <c r="A17" s="573"/>
      <c r="C17" s="574"/>
      <c r="D17" s="574" t="s">
        <v>68</v>
      </c>
      <c r="E17" s="574"/>
      <c r="G17" s="593"/>
      <c r="H17" s="1314"/>
      <c r="I17" s="380"/>
    </row>
    <row r="18" spans="1:9" ht="15" customHeight="1">
      <c r="A18" s="570"/>
      <c r="B18" s="565"/>
      <c r="C18" s="565"/>
      <c r="D18" s="565"/>
      <c r="E18" s="565"/>
      <c r="G18" s="565"/>
      <c r="H18" s="589"/>
      <c r="I18" s="380"/>
    </row>
    <row r="19" spans="1:9" ht="20.25" customHeight="1">
      <c r="A19" s="750" t="s">
        <v>293</v>
      </c>
      <c r="B19" s="1317" t="s">
        <v>338</v>
      </c>
      <c r="C19" s="1318"/>
      <c r="D19" s="1318"/>
      <c r="E19" s="1318"/>
      <c r="F19" s="1318"/>
      <c r="G19" s="592"/>
      <c r="H19" s="1315">
        <f>IF(SI_1!G56=0,"",IF(AND(G19&lt;=SI_1!G56,G19&gt;0),"","IL VALORE INSERITO DEVE ESSERE &lt;= "&amp;SI_1!G56&amp;" E MAGGIORE DI 0"))</f>
      </c>
      <c r="I19" s="380"/>
    </row>
    <row r="20" spans="1:9" ht="33.75" customHeight="1">
      <c r="A20" s="570"/>
      <c r="B20" s="1318"/>
      <c r="C20" s="1318"/>
      <c r="D20" s="1318"/>
      <c r="E20" s="1318"/>
      <c r="F20" s="1318"/>
      <c r="G20" s="565"/>
      <c r="H20" s="1316"/>
      <c r="I20" s="380"/>
    </row>
    <row r="21" spans="1:9" ht="15" customHeight="1">
      <c r="A21" s="570"/>
      <c r="B21" s="569" t="s">
        <v>339</v>
      </c>
      <c r="C21" s="565"/>
      <c r="D21" s="565"/>
      <c r="E21" s="565"/>
      <c r="G21" s="565"/>
      <c r="H21" s="589"/>
      <c r="I21" s="380"/>
    </row>
    <row r="22" spans="1:9" ht="20.25" customHeight="1">
      <c r="A22" s="570"/>
      <c r="B22" s="565"/>
      <c r="C22" s="565"/>
      <c r="D22" s="565" t="s">
        <v>69</v>
      </c>
      <c r="E22" s="565"/>
      <c r="G22" s="592"/>
      <c r="H22" s="1314">
        <f>IF(SUM(G22:G24)&lt;&gt;G19,"LA SOMMA DEI VALORI DEVE ESSERE UGUALE A "&amp;IF(G19&lt;&gt;0,G19,0),"")</f>
      </c>
      <c r="I22" s="380"/>
    </row>
    <row r="23" spans="1:9" ht="20.25" customHeight="1">
      <c r="A23" s="570"/>
      <c r="B23" s="565"/>
      <c r="C23" s="565"/>
      <c r="D23" s="565" t="s">
        <v>70</v>
      </c>
      <c r="E23" s="565"/>
      <c r="G23" s="592"/>
      <c r="H23" s="1314"/>
      <c r="I23" s="380"/>
    </row>
    <row r="24" spans="1:9" ht="20.25" customHeight="1">
      <c r="A24" s="570"/>
      <c r="B24" s="565"/>
      <c r="C24" s="565"/>
      <c r="D24" s="565" t="s">
        <v>71</v>
      </c>
      <c r="E24" s="565"/>
      <c r="G24" s="592"/>
      <c r="H24" s="1314"/>
      <c r="I24" s="380">
        <f>SUM(G22:G24,G19,G14:G17,G11,G7:G9)</f>
        <v>0</v>
      </c>
    </row>
    <row r="25" spans="1:9" ht="15" customHeight="1">
      <c r="A25" s="570"/>
      <c r="B25" s="565"/>
      <c r="C25" s="565"/>
      <c r="D25" s="565"/>
      <c r="E25" s="565"/>
      <c r="F25" s="565"/>
      <c r="G25" s="565"/>
      <c r="H25" s="589"/>
      <c r="I25" s="380"/>
    </row>
    <row r="26" spans="1:9" s="621" customFormat="1" ht="15" customHeight="1">
      <c r="A26" s="570"/>
      <c r="B26" s="565"/>
      <c r="C26" s="565"/>
      <c r="D26" s="565"/>
      <c r="E26" s="565"/>
      <c r="F26" s="565"/>
      <c r="G26" s="565"/>
      <c r="H26" s="590"/>
      <c r="I26" s="405"/>
    </row>
    <row r="27" spans="1:9" ht="14.25">
      <c r="A27" s="578"/>
      <c r="B27" s="579"/>
      <c r="C27" s="579"/>
      <c r="D27" s="579"/>
      <c r="E27" s="579"/>
      <c r="F27" s="579"/>
      <c r="G27" s="579"/>
      <c r="H27" s="591"/>
      <c r="I27" s="380"/>
    </row>
    <row r="28" spans="1:8" ht="14.25">
      <c r="A28" s="570"/>
      <c r="B28" s="565"/>
      <c r="C28" s="565"/>
      <c r="D28" s="565"/>
      <c r="E28" s="565"/>
      <c r="F28" s="565"/>
      <c r="G28" s="565"/>
      <c r="H28" s="565"/>
    </row>
    <row r="29" spans="1:8" ht="14.25">
      <c r="A29" s="570"/>
      <c r="B29" s="565"/>
      <c r="C29" s="565"/>
      <c r="D29" s="565"/>
      <c r="E29" s="565"/>
      <c r="F29" s="565"/>
      <c r="G29" s="565"/>
      <c r="H29" s="565"/>
    </row>
    <row r="30" spans="1:8" ht="14.25">
      <c r="A30" s="570"/>
      <c r="B30" s="565"/>
      <c r="C30" s="565"/>
      <c r="D30" s="565"/>
      <c r="E30" s="565"/>
      <c r="F30" s="565"/>
      <c r="G30" s="565"/>
      <c r="H30" s="565"/>
    </row>
    <row r="31" spans="1:8" ht="14.25">
      <c r="A31" s="570"/>
      <c r="B31" s="565"/>
      <c r="C31" s="565"/>
      <c r="D31" s="565"/>
      <c r="E31" s="565"/>
      <c r="F31" s="565"/>
      <c r="G31" s="565"/>
      <c r="H31" s="565"/>
    </row>
    <row r="32" spans="1:8" ht="14.25">
      <c r="A32" s="570"/>
      <c r="B32" s="565"/>
      <c r="C32" s="565"/>
      <c r="D32" s="565"/>
      <c r="E32" s="565"/>
      <c r="F32" s="565"/>
      <c r="G32" s="565"/>
      <c r="H32" s="565"/>
    </row>
    <row r="33" spans="1:8" ht="14.25">
      <c r="A33" s="570"/>
      <c r="B33" s="565"/>
      <c r="C33" s="565"/>
      <c r="D33" s="565"/>
      <c r="E33" s="565"/>
      <c r="F33" s="565"/>
      <c r="G33" s="565"/>
      <c r="H33" s="565"/>
    </row>
    <row r="34" spans="1:8" ht="23.25" customHeight="1">
      <c r="A34" s="570"/>
      <c r="B34" s="565"/>
      <c r="C34" s="565"/>
      <c r="D34" s="565"/>
      <c r="E34" s="565"/>
      <c r="F34" s="565"/>
      <c r="G34" s="565"/>
      <c r="H34" s="565"/>
    </row>
    <row r="35" spans="1:8" ht="23.25" customHeight="1">
      <c r="A35" s="570"/>
      <c r="B35" s="565"/>
      <c r="C35" s="565"/>
      <c r="D35" s="565"/>
      <c r="E35" s="565"/>
      <c r="F35" s="565"/>
      <c r="G35" s="565"/>
      <c r="H35" s="565"/>
    </row>
    <row r="36" spans="1:8" ht="23.25" customHeight="1">
      <c r="A36" s="570"/>
      <c r="B36" s="565"/>
      <c r="C36" s="565"/>
      <c r="D36" s="565"/>
      <c r="E36" s="565"/>
      <c r="F36" s="565"/>
      <c r="G36" s="565"/>
      <c r="H36" s="565"/>
    </row>
    <row r="37" spans="1:8" ht="23.25" customHeight="1">
      <c r="A37" s="570"/>
      <c r="B37" s="565"/>
      <c r="C37" s="565"/>
      <c r="D37" s="565"/>
      <c r="E37" s="565"/>
      <c r="F37" s="565"/>
      <c r="G37" s="565"/>
      <c r="H37" s="565"/>
    </row>
  </sheetData>
  <sheetProtection password="EA98" sheet="1" formatColumns="0" selectLockedCells="1"/>
  <mergeCells count="7">
    <mergeCell ref="B2:G2"/>
    <mergeCell ref="H7:H9"/>
    <mergeCell ref="H14:H17"/>
    <mergeCell ref="H22:H24"/>
    <mergeCell ref="H11:H12"/>
    <mergeCell ref="H19:H20"/>
    <mergeCell ref="B19:F20"/>
  </mergeCells>
  <dataValidations count="1">
    <dataValidation type="whole" operator="greaterThanOrEqual" allowBlank="1" showInputMessage="1" showErrorMessage="1" errorTitle="ERRORE" error="IL VALORE DEVE ESSERE UN INTERO POSITIVO" sqref="G11">
      <formula1>0</formula1>
    </dataValidation>
  </dataValidations>
  <printOptions/>
  <pageMargins left="0.34" right="0.34" top="0.5" bottom="0.38" header="0.5" footer="0.38"/>
  <pageSetup horizontalDpi="600" verticalDpi="600" orientation="landscape" paperSize="9" scale="90" r:id="rId2"/>
  <drawing r:id="rId1"/>
</worksheet>
</file>

<file path=xl/worksheets/sheet20.xml><?xml version="1.0" encoding="utf-8"?>
<worksheet xmlns="http://schemas.openxmlformats.org/spreadsheetml/2006/main" xmlns:r="http://schemas.openxmlformats.org/officeDocument/2006/relationships">
  <sheetPr codeName="Foglio38"/>
  <dimension ref="A1:W41"/>
  <sheetViews>
    <sheetView showGridLines="0" zoomScale="75" zoomScaleNormal="75" zoomScalePageLayoutView="0" workbookViewId="0" topLeftCell="A1">
      <selection activeCell="C7" sqref="C7"/>
    </sheetView>
  </sheetViews>
  <sheetFormatPr defaultColWidth="11.66015625" defaultRowHeight="10.5"/>
  <cols>
    <col min="1" max="1" width="70.33203125" style="976" customWidth="1"/>
    <col min="2" max="2" width="9.66015625" style="1230" customWidth="1"/>
    <col min="3" max="3" width="23" style="976" customWidth="1"/>
    <col min="4" max="4" width="3.16015625" style="976" customWidth="1"/>
    <col min="5" max="5" width="70.33203125" style="976" customWidth="1"/>
    <col min="6" max="6" width="9.66015625" style="976" customWidth="1"/>
    <col min="7" max="7" width="23" style="976" customWidth="1"/>
    <col min="8" max="8" width="34" style="976" customWidth="1"/>
    <col min="9" max="14" width="11.66015625" style="976" customWidth="1"/>
    <col min="15" max="18" width="11.66015625" style="976" hidden="1" customWidth="1"/>
    <col min="19" max="19" width="4.66015625" style="976" hidden="1" customWidth="1"/>
    <col min="20" max="23" width="11.66015625" style="976" hidden="1" customWidth="1"/>
    <col min="24" max="16384" width="11.66015625" style="976" customWidth="1"/>
  </cols>
  <sheetData>
    <row r="1" spans="1:14" ht="43.5" customHeight="1">
      <c r="A1" s="1203" t="str">
        <f>'t1'!$A$1</f>
        <v>CNEL - anno 2018</v>
      </c>
      <c r="B1" s="1203"/>
      <c r="C1" s="1203"/>
      <c r="D1" s="1203"/>
      <c r="E1" s="1203"/>
      <c r="F1" s="1203"/>
      <c r="G1" s="1203"/>
      <c r="H1" s="973" t="s">
        <v>290</v>
      </c>
      <c r="I1" s="974"/>
      <c r="J1" s="974"/>
      <c r="K1" s="974"/>
      <c r="L1" s="975"/>
      <c r="M1" s="975"/>
      <c r="N1" s="975"/>
    </row>
    <row r="2" spans="1:14" ht="42" customHeight="1" thickBot="1">
      <c r="A2" s="1204"/>
      <c r="B2" s="1204"/>
      <c r="C2" s="1204"/>
      <c r="D2" s="1204"/>
      <c r="E2" s="977"/>
      <c r="F2" s="977"/>
      <c r="G2" s="977"/>
      <c r="H2" s="974"/>
      <c r="I2" s="974"/>
      <c r="J2" s="974"/>
      <c r="K2" s="974"/>
      <c r="L2" s="974"/>
      <c r="M2" s="975"/>
      <c r="N2" s="975"/>
    </row>
    <row r="3" spans="1:23" ht="25.5" customHeight="1" thickBot="1">
      <c r="A3" s="978" t="s">
        <v>850</v>
      </c>
      <c r="B3" s="980"/>
      <c r="C3" s="979"/>
      <c r="D3" s="1185"/>
      <c r="E3" s="978" t="s">
        <v>851</v>
      </c>
      <c r="F3" s="1205"/>
      <c r="G3" s="981"/>
      <c r="H3" s="982" t="s">
        <v>682</v>
      </c>
      <c r="I3" s="1206"/>
      <c r="J3" s="1206"/>
      <c r="K3" s="1206"/>
      <c r="L3" s="1206"/>
      <c r="O3" s="1207"/>
      <c r="P3" s="1207"/>
      <c r="Q3" s="1208"/>
      <c r="R3" s="1209"/>
      <c r="S3" s="1209"/>
      <c r="T3" s="1207"/>
      <c r="U3" s="1207"/>
      <c r="V3" s="1208"/>
      <c r="W3" s="1209"/>
    </row>
    <row r="4" spans="1:14" ht="18" customHeight="1" thickBot="1">
      <c r="A4" s="983" t="s">
        <v>132</v>
      </c>
      <c r="B4" s="984" t="s">
        <v>133</v>
      </c>
      <c r="C4" s="985" t="s">
        <v>250</v>
      </c>
      <c r="D4" s="1210"/>
      <c r="E4" s="983" t="s">
        <v>132</v>
      </c>
      <c r="F4" s="986" t="s">
        <v>133</v>
      </c>
      <c r="G4" s="987" t="s">
        <v>250</v>
      </c>
      <c r="H4" s="1415" t="str">
        <f>IF(AND(C35=0,ISBLANK('SICI(2)'!E17),ISBLANK('SICI(2)'!E19),ISBLANK('SICI(2)'!E21)),"OK",IF(AND(C35&gt;0,ISBLANK('SICI(2)'!E17),ISBLANK('SICI(2)'!E19),ISBLANK('SICI(2)'!E21)),"Attenzione: inserire le voci di costituzione del fondo unicamente in presenza di certificazione dello stesso !!!","OK"))</f>
        <v>OK</v>
      </c>
      <c r="I4" s="1211"/>
      <c r="J4" s="1211"/>
      <c r="K4" s="1211"/>
      <c r="L4" s="1211"/>
      <c r="M4" s="975"/>
      <c r="N4" s="975"/>
    </row>
    <row r="5" spans="1:23" ht="15" customHeight="1">
      <c r="A5" s="988" t="s">
        <v>820</v>
      </c>
      <c r="B5" s="989"/>
      <c r="C5" s="990"/>
      <c r="D5" s="1225"/>
      <c r="E5" s="1189" t="s">
        <v>820</v>
      </c>
      <c r="F5" s="989"/>
      <c r="G5" s="990"/>
      <c r="H5" s="1416"/>
      <c r="I5" s="1211"/>
      <c r="J5" s="1211"/>
      <c r="K5" s="1211"/>
      <c r="L5" s="1211"/>
      <c r="M5" s="975"/>
      <c r="N5" s="975"/>
      <c r="O5" s="991" t="s">
        <v>685</v>
      </c>
      <c r="P5" s="1213"/>
      <c r="Q5" s="1214"/>
      <c r="R5" s="1214"/>
      <c r="S5" s="1209"/>
      <c r="T5" s="991" t="s">
        <v>686</v>
      </c>
      <c r="U5" s="1213"/>
      <c r="V5" s="1214"/>
      <c r="W5" s="1214"/>
    </row>
    <row r="6" spans="1:23" ht="15" customHeight="1">
      <c r="A6" s="992" t="s">
        <v>687</v>
      </c>
      <c r="B6" s="993"/>
      <c r="C6" s="994"/>
      <c r="D6" s="1225"/>
      <c r="E6" s="1190" t="s">
        <v>785</v>
      </c>
      <c r="F6" s="993"/>
      <c r="G6" s="994"/>
      <c r="H6" s="1416"/>
      <c r="I6" s="1211"/>
      <c r="J6" s="1211"/>
      <c r="K6" s="1211"/>
      <c r="L6" s="1211"/>
      <c r="M6" s="975"/>
      <c r="N6" s="975"/>
      <c r="O6" s="995" t="s">
        <v>688</v>
      </c>
      <c r="P6" s="995" t="s">
        <v>689</v>
      </c>
      <c r="Q6" s="995" t="s">
        <v>690</v>
      </c>
      <c r="R6" s="995" t="s">
        <v>691</v>
      </c>
      <c r="S6" s="1209"/>
      <c r="T6" s="995" t="s">
        <v>688</v>
      </c>
      <c r="U6" s="995" t="s">
        <v>689</v>
      </c>
      <c r="V6" s="995" t="s">
        <v>690</v>
      </c>
      <c r="W6" s="995" t="s">
        <v>691</v>
      </c>
    </row>
    <row r="7" spans="1:23" ht="15" customHeight="1">
      <c r="A7" s="996" t="s">
        <v>808</v>
      </c>
      <c r="B7" s="985" t="s">
        <v>809</v>
      </c>
      <c r="C7" s="1180"/>
      <c r="D7" s="1225"/>
      <c r="E7" s="954" t="s">
        <v>839</v>
      </c>
      <c r="F7" s="985" t="s">
        <v>840</v>
      </c>
      <c r="G7" s="1181"/>
      <c r="H7" s="1416"/>
      <c r="I7" s="1211"/>
      <c r="J7" s="1211"/>
      <c r="K7" s="1211"/>
      <c r="L7" s="1211"/>
      <c r="M7" s="975"/>
      <c r="N7" s="975"/>
      <c r="O7" s="997">
        <v>52</v>
      </c>
      <c r="P7" s="997">
        <v>7</v>
      </c>
      <c r="Q7" s="997" t="str">
        <f>B7</f>
        <v>F05L</v>
      </c>
      <c r="R7" s="998">
        <f>IF(ISNUMBER(C7),ROUND(C7,0),"")</f>
      </c>
      <c r="S7" s="1218"/>
      <c r="T7" s="997">
        <v>52</v>
      </c>
      <c r="U7" s="997">
        <v>61</v>
      </c>
      <c r="V7" s="997" t="str">
        <f>F7</f>
        <v>U02K</v>
      </c>
      <c r="W7" s="998">
        <f>IF(ISNUMBER(G7),ROUND(G7,0),"")</f>
      </c>
    </row>
    <row r="8" spans="1:23" ht="15" customHeight="1">
      <c r="A8" s="996" t="s">
        <v>810</v>
      </c>
      <c r="B8" s="985" t="s">
        <v>811</v>
      </c>
      <c r="C8" s="1181"/>
      <c r="D8" s="1225"/>
      <c r="E8" s="954" t="s">
        <v>856</v>
      </c>
      <c r="F8" s="985" t="s">
        <v>841</v>
      </c>
      <c r="G8" s="1181"/>
      <c r="H8" s="1416"/>
      <c r="I8" s="1211"/>
      <c r="J8" s="1211"/>
      <c r="K8" s="1211"/>
      <c r="L8" s="1211"/>
      <c r="M8" s="975"/>
      <c r="N8" s="975"/>
      <c r="O8" s="997">
        <v>52</v>
      </c>
      <c r="P8" s="997">
        <v>7</v>
      </c>
      <c r="Q8" s="997" t="str">
        <f aca="true" t="shared" si="0" ref="Q8:Q13">B8</f>
        <v>F05M</v>
      </c>
      <c r="R8" s="998">
        <f aca="true" t="shared" si="1" ref="R8:R13">IF(ISNUMBER(C8),ROUND(C8,0),"")</f>
      </c>
      <c r="S8" s="1218"/>
      <c r="T8" s="997">
        <v>52</v>
      </c>
      <c r="U8" s="997">
        <v>61</v>
      </c>
      <c r="V8" s="997" t="str">
        <f aca="true" t="shared" si="2" ref="V8:V15">F8</f>
        <v>U02L</v>
      </c>
      <c r="W8" s="998">
        <f aca="true" t="shared" si="3" ref="W8:W15">IF(ISNUMBER(G8),ROUND(G8,0),"")</f>
      </c>
    </row>
    <row r="9" spans="1:23" ht="15" customHeight="1" thickBot="1">
      <c r="A9" s="996" t="s">
        <v>812</v>
      </c>
      <c r="B9" s="985" t="s">
        <v>813</v>
      </c>
      <c r="C9" s="1181"/>
      <c r="D9" s="1225"/>
      <c r="E9" s="954" t="s">
        <v>857</v>
      </c>
      <c r="F9" s="985" t="s">
        <v>842</v>
      </c>
      <c r="G9" s="1216"/>
      <c r="H9" s="1417"/>
      <c r="I9" s="1211"/>
      <c r="J9" s="1211"/>
      <c r="K9" s="1211"/>
      <c r="L9" s="1211"/>
      <c r="M9" s="975"/>
      <c r="N9" s="975"/>
      <c r="O9" s="997">
        <v>52</v>
      </c>
      <c r="P9" s="997">
        <v>7</v>
      </c>
      <c r="Q9" s="997" t="str">
        <f t="shared" si="0"/>
        <v>F05N</v>
      </c>
      <c r="R9" s="998">
        <f t="shared" si="1"/>
      </c>
      <c r="S9" s="1218"/>
      <c r="T9" s="997">
        <v>52</v>
      </c>
      <c r="U9" s="997">
        <v>61</v>
      </c>
      <c r="V9" s="997" t="str">
        <f t="shared" si="2"/>
        <v>U02M</v>
      </c>
      <c r="W9" s="998">
        <f t="shared" si="3"/>
      </c>
    </row>
    <row r="10" spans="1:23" ht="15" customHeight="1" thickBot="1">
      <c r="A10" s="996" t="s">
        <v>814</v>
      </c>
      <c r="B10" s="985" t="s">
        <v>815</v>
      </c>
      <c r="C10" s="1181"/>
      <c r="D10" s="1225"/>
      <c r="E10" s="954" t="s">
        <v>858</v>
      </c>
      <c r="F10" s="985" t="s">
        <v>843</v>
      </c>
      <c r="G10" s="1216"/>
      <c r="H10" s="1002" t="s">
        <v>692</v>
      </c>
      <c r="I10" s="1211"/>
      <c r="J10" s="1211"/>
      <c r="K10" s="1211"/>
      <c r="L10" s="1211"/>
      <c r="M10" s="975"/>
      <c r="N10" s="975"/>
      <c r="O10" s="997">
        <v>52</v>
      </c>
      <c r="P10" s="997">
        <v>7</v>
      </c>
      <c r="Q10" s="997" t="str">
        <f t="shared" si="0"/>
        <v>F05O</v>
      </c>
      <c r="R10" s="998">
        <f t="shared" si="1"/>
      </c>
      <c r="S10" s="1218"/>
      <c r="T10" s="997">
        <v>52</v>
      </c>
      <c r="U10" s="997">
        <v>61</v>
      </c>
      <c r="V10" s="997" t="str">
        <f t="shared" si="2"/>
        <v>U02N</v>
      </c>
      <c r="W10" s="998">
        <f t="shared" si="3"/>
      </c>
    </row>
    <row r="11" spans="1:23" ht="15" customHeight="1">
      <c r="A11" s="996" t="s">
        <v>816</v>
      </c>
      <c r="B11" s="985" t="s">
        <v>817</v>
      </c>
      <c r="C11" s="1181"/>
      <c r="D11" s="1225"/>
      <c r="E11" s="954" t="s">
        <v>859</v>
      </c>
      <c r="F11" s="985" t="s">
        <v>844</v>
      </c>
      <c r="G11" s="1216"/>
      <c r="H11" s="1412" t="str">
        <f>IF(OR(AND(C35=0,G35=0),ROUND(C35,0)&lt;&gt;ROUND(G35,0)),"OK","Attenzione: le risorse del fondo coincidono esattamente con i relativi impeghi, è necessario giustificare")</f>
        <v>OK</v>
      </c>
      <c r="I11" s="1211"/>
      <c r="J11" s="1211"/>
      <c r="K11" s="1211"/>
      <c r="L11" s="1211"/>
      <c r="M11" s="975"/>
      <c r="N11" s="975"/>
      <c r="O11" s="997">
        <v>52</v>
      </c>
      <c r="P11" s="997">
        <v>7</v>
      </c>
      <c r="Q11" s="997" t="str">
        <f t="shared" si="0"/>
        <v>F08J</v>
      </c>
      <c r="R11" s="998">
        <f t="shared" si="1"/>
      </c>
      <c r="S11" s="1218"/>
      <c r="T11" s="997">
        <v>52</v>
      </c>
      <c r="U11" s="997">
        <v>61</v>
      </c>
      <c r="V11" s="997" t="str">
        <f t="shared" si="2"/>
        <v>U02O</v>
      </c>
      <c r="W11" s="998">
        <f t="shared" si="3"/>
      </c>
    </row>
    <row r="12" spans="1:23" ht="15" customHeight="1">
      <c r="A12" s="996" t="s">
        <v>818</v>
      </c>
      <c r="B12" s="985" t="s">
        <v>779</v>
      </c>
      <c r="C12" s="1181"/>
      <c r="D12" s="1225"/>
      <c r="E12" s="954" t="s">
        <v>860</v>
      </c>
      <c r="F12" s="985" t="s">
        <v>845</v>
      </c>
      <c r="G12" s="1216"/>
      <c r="H12" s="1413"/>
      <c r="I12" s="1219"/>
      <c r="J12" s="1219"/>
      <c r="K12" s="1219"/>
      <c r="L12" s="1219"/>
      <c r="M12" s="975"/>
      <c r="N12" s="975"/>
      <c r="O12" s="997">
        <v>52</v>
      </c>
      <c r="P12" s="997">
        <v>7</v>
      </c>
      <c r="Q12" s="997" t="str">
        <f t="shared" si="0"/>
        <v>F02Z</v>
      </c>
      <c r="R12" s="998">
        <f t="shared" si="1"/>
      </c>
      <c r="S12" s="1218"/>
      <c r="T12" s="997">
        <v>52</v>
      </c>
      <c r="U12" s="997">
        <v>61</v>
      </c>
      <c r="V12" s="997" t="str">
        <f t="shared" si="2"/>
        <v>U02P</v>
      </c>
      <c r="W12" s="998">
        <f t="shared" si="3"/>
      </c>
    </row>
    <row r="13" spans="1:23" ht="15" customHeight="1">
      <c r="A13" s="996" t="s">
        <v>819</v>
      </c>
      <c r="B13" s="985" t="s">
        <v>521</v>
      </c>
      <c r="C13" s="1181"/>
      <c r="D13" s="1225"/>
      <c r="E13" s="954" t="s">
        <v>861</v>
      </c>
      <c r="F13" s="985" t="s">
        <v>846</v>
      </c>
      <c r="G13" s="1216"/>
      <c r="H13" s="1413"/>
      <c r="I13" s="1219"/>
      <c r="J13" s="1219"/>
      <c r="K13" s="1219"/>
      <c r="L13" s="1219"/>
      <c r="M13" s="975"/>
      <c r="N13" s="975"/>
      <c r="O13" s="997">
        <v>52</v>
      </c>
      <c r="P13" s="997">
        <v>7</v>
      </c>
      <c r="Q13" s="997" t="str">
        <f t="shared" si="0"/>
        <v>F998</v>
      </c>
      <c r="R13" s="998">
        <f t="shared" si="1"/>
      </c>
      <c r="S13" s="1218"/>
      <c r="T13" s="997">
        <v>52</v>
      </c>
      <c r="U13" s="997">
        <v>61</v>
      </c>
      <c r="V13" s="997" t="str">
        <f t="shared" si="2"/>
        <v>U02Q</v>
      </c>
      <c r="W13" s="998">
        <f t="shared" si="3"/>
      </c>
    </row>
    <row r="14" spans="1:23" ht="15" customHeight="1" thickBot="1">
      <c r="A14" s="1187" t="s">
        <v>380</v>
      </c>
      <c r="B14" s="1000"/>
      <c r="C14" s="1188">
        <f>SUM(C7:C13)</f>
        <v>0</v>
      </c>
      <c r="D14" s="1225"/>
      <c r="E14" s="954" t="s">
        <v>862</v>
      </c>
      <c r="F14" s="985" t="s">
        <v>847</v>
      </c>
      <c r="G14" s="1216"/>
      <c r="H14" s="1413"/>
      <c r="I14" s="1219"/>
      <c r="J14" s="1219"/>
      <c r="K14" s="1219"/>
      <c r="L14" s="1219"/>
      <c r="M14" s="975"/>
      <c r="N14" s="975"/>
      <c r="O14" s="997"/>
      <c r="P14" s="997"/>
      <c r="Q14" s="997"/>
      <c r="R14" s="998"/>
      <c r="S14" s="1218"/>
      <c r="T14" s="997">
        <v>52</v>
      </c>
      <c r="U14" s="997">
        <v>61</v>
      </c>
      <c r="V14" s="997" t="str">
        <f t="shared" si="2"/>
        <v>U02S</v>
      </c>
      <c r="W14" s="998">
        <f t="shared" si="3"/>
      </c>
    </row>
    <row r="15" spans="1:23" ht="15" customHeight="1">
      <c r="A15" s="1003" t="s">
        <v>381</v>
      </c>
      <c r="B15" s="1004"/>
      <c r="C15" s="1005"/>
      <c r="D15" s="1225"/>
      <c r="E15" s="954" t="s">
        <v>848</v>
      </c>
      <c r="F15" s="1184" t="s">
        <v>543</v>
      </c>
      <c r="G15" s="1216"/>
      <c r="H15" s="1413"/>
      <c r="I15" s="1219"/>
      <c r="J15" s="1219"/>
      <c r="K15" s="1219"/>
      <c r="L15" s="1219"/>
      <c r="M15" s="975"/>
      <c r="N15" s="975"/>
      <c r="O15" s="997"/>
      <c r="P15" s="997"/>
      <c r="Q15" s="997"/>
      <c r="R15" s="998"/>
      <c r="S15" s="1218"/>
      <c r="T15" s="997">
        <v>52</v>
      </c>
      <c r="U15" s="997">
        <v>61</v>
      </c>
      <c r="V15" s="997" t="str">
        <f t="shared" si="2"/>
        <v>U998</v>
      </c>
      <c r="W15" s="998">
        <f t="shared" si="3"/>
      </c>
    </row>
    <row r="16" spans="1:23" ht="15" customHeight="1" thickBot="1">
      <c r="A16" s="996" t="s">
        <v>821</v>
      </c>
      <c r="B16" s="985" t="s">
        <v>523</v>
      </c>
      <c r="C16" s="1181"/>
      <c r="D16" s="1225"/>
      <c r="E16" s="1191" t="s">
        <v>786</v>
      </c>
      <c r="F16" s="1000"/>
      <c r="G16" s="1188">
        <f>SUM(G7:G15)</f>
        <v>0</v>
      </c>
      <c r="H16" s="1414"/>
      <c r="I16" s="1219"/>
      <c r="J16" s="1219"/>
      <c r="K16" s="1219"/>
      <c r="L16" s="1219"/>
      <c r="M16" s="975"/>
      <c r="N16" s="975"/>
      <c r="O16" s="997">
        <v>52</v>
      </c>
      <c r="P16" s="997">
        <v>9</v>
      </c>
      <c r="Q16" s="997" t="str">
        <f>B16</f>
        <v>F50H</v>
      </c>
      <c r="R16" s="998">
        <f>IF(ISNUMBER(C16),ROUND(C16,0),"")</f>
      </c>
      <c r="S16" s="1218"/>
      <c r="T16" s="1218" t="s">
        <v>586</v>
      </c>
      <c r="U16" s="997"/>
      <c r="V16" s="997"/>
      <c r="W16" s="998"/>
    </row>
    <row r="17" spans="1:23" ht="15" customHeight="1" thickBot="1">
      <c r="A17" s="996" t="s">
        <v>822</v>
      </c>
      <c r="B17" s="985" t="s">
        <v>524</v>
      </c>
      <c r="C17" s="1181"/>
      <c r="D17" s="1225"/>
      <c r="E17" s="1007" t="s">
        <v>852</v>
      </c>
      <c r="F17" s="1016"/>
      <c r="G17" s="1001">
        <f>G16</f>
        <v>0</v>
      </c>
      <c r="H17" s="1002" t="s">
        <v>788</v>
      </c>
      <c r="I17" s="1219"/>
      <c r="J17" s="1219"/>
      <c r="K17" s="1219"/>
      <c r="L17" s="1219"/>
      <c r="M17" s="975"/>
      <c r="N17" s="975"/>
      <c r="O17" s="997">
        <v>52</v>
      </c>
      <c r="P17" s="997">
        <v>9</v>
      </c>
      <c r="Q17" s="997" t="str">
        <f aca="true" t="shared" si="4" ref="Q17:Q25">B17</f>
        <v>F51H</v>
      </c>
      <c r="R17" s="998">
        <f aca="true" t="shared" si="5" ref="R17:R25">IF(ISNUMBER(C17),ROUND(C17,0),"")</f>
      </c>
      <c r="S17" s="1218"/>
      <c r="T17" s="997"/>
      <c r="U17" s="997"/>
      <c r="V17" s="997"/>
      <c r="W17" s="998"/>
    </row>
    <row r="18" spans="1:23" ht="15" customHeight="1">
      <c r="A18" s="996" t="s">
        <v>823</v>
      </c>
      <c r="B18" s="1182" t="s">
        <v>626</v>
      </c>
      <c r="C18" s="1181"/>
      <c r="D18" s="1225"/>
      <c r="E18" s="1012"/>
      <c r="F18" s="1013"/>
      <c r="G18" s="1221"/>
      <c r="H18" s="1412" t="str">
        <f>IF(C35=0,"OK",IF(AND(C13/C35&lt;0.1,C24/C35&lt;0.1),"OK","Attenzione: la voce altre risorse fisse e/o la voce altre risorse variabili risulta maggiore del 10% del fondo, è necessario giustificare"))</f>
        <v>OK</v>
      </c>
      <c r="I18" s="1219"/>
      <c r="J18" s="1219"/>
      <c r="K18" s="1219"/>
      <c r="L18" s="1219"/>
      <c r="M18" s="975"/>
      <c r="N18" s="975"/>
      <c r="O18" s="997">
        <v>52</v>
      </c>
      <c r="P18" s="997">
        <v>9</v>
      </c>
      <c r="Q18" s="997" t="str">
        <f t="shared" si="4"/>
        <v>F96H</v>
      </c>
      <c r="R18" s="998">
        <f t="shared" si="5"/>
      </c>
      <c r="S18" s="1218"/>
      <c r="U18" s="1218"/>
      <c r="V18" s="1218"/>
      <c r="W18" s="1218"/>
    </row>
    <row r="19" spans="1:23" ht="15" customHeight="1">
      <c r="A19" s="996" t="s">
        <v>838</v>
      </c>
      <c r="B19" s="985" t="s">
        <v>824</v>
      </c>
      <c r="C19" s="1181"/>
      <c r="D19" s="1225"/>
      <c r="E19" s="1012"/>
      <c r="F19" s="1013"/>
      <c r="G19" s="1221"/>
      <c r="H19" s="1413"/>
      <c r="I19" s="1222"/>
      <c r="J19" s="1222"/>
      <c r="K19" s="1222"/>
      <c r="L19" s="1222"/>
      <c r="M19" s="974"/>
      <c r="N19" s="975"/>
      <c r="O19" s="997">
        <v>52</v>
      </c>
      <c r="P19" s="997">
        <v>9</v>
      </c>
      <c r="Q19" s="997" t="str">
        <f t="shared" si="4"/>
        <v>F05R</v>
      </c>
      <c r="R19" s="998">
        <f t="shared" si="5"/>
      </c>
      <c r="S19" s="1218"/>
      <c r="T19" s="1218"/>
      <c r="U19" s="1218"/>
      <c r="V19" s="1218"/>
      <c r="W19" s="1218"/>
    </row>
    <row r="20" spans="1:23" ht="15" customHeight="1">
      <c r="A20" s="996" t="s">
        <v>825</v>
      </c>
      <c r="B20" s="985" t="s">
        <v>826</v>
      </c>
      <c r="C20" s="1181"/>
      <c r="D20" s="1225"/>
      <c r="E20" s="1012"/>
      <c r="F20" s="1013"/>
      <c r="G20" s="1221"/>
      <c r="H20" s="1413"/>
      <c r="I20" s="1018"/>
      <c r="J20" s="1018"/>
      <c r="K20" s="1018"/>
      <c r="L20" s="1018"/>
      <c r="M20" s="974"/>
      <c r="N20" s="975"/>
      <c r="O20" s="997">
        <v>52</v>
      </c>
      <c r="P20" s="997">
        <v>9</v>
      </c>
      <c r="Q20" s="997" t="str">
        <f t="shared" si="4"/>
        <v>F05S</v>
      </c>
      <c r="R20" s="998">
        <f t="shared" si="5"/>
      </c>
      <c r="S20" s="1218"/>
      <c r="T20" s="1218"/>
      <c r="U20" s="1218"/>
      <c r="V20" s="1218"/>
      <c r="W20" s="1218"/>
    </row>
    <row r="21" spans="1:23" ht="15" customHeight="1">
      <c r="A21" s="996" t="s">
        <v>827</v>
      </c>
      <c r="B21" s="1182" t="s">
        <v>854</v>
      </c>
      <c r="C21" s="1181"/>
      <c r="D21" s="1225"/>
      <c r="E21" s="1012"/>
      <c r="F21" s="1013"/>
      <c r="G21" s="1221"/>
      <c r="H21" s="1413"/>
      <c r="I21" s="1018"/>
      <c r="J21" s="1018"/>
      <c r="K21" s="1018"/>
      <c r="L21" s="1018"/>
      <c r="M21" s="974"/>
      <c r="N21" s="975"/>
      <c r="O21" s="997">
        <v>52</v>
      </c>
      <c r="P21" s="997">
        <v>9</v>
      </c>
      <c r="Q21" s="997" t="str">
        <f t="shared" si="4"/>
        <v>F09M</v>
      </c>
      <c r="R21" s="998">
        <f t="shared" si="5"/>
      </c>
      <c r="S21" s="1218"/>
      <c r="T21" s="1218"/>
      <c r="U21" s="1218"/>
      <c r="V21" s="1218"/>
      <c r="W21" s="1218"/>
    </row>
    <row r="22" spans="1:23" ht="15" customHeight="1">
      <c r="A22" s="996" t="s">
        <v>828</v>
      </c>
      <c r="B22" s="1182" t="s">
        <v>853</v>
      </c>
      <c r="C22" s="1181"/>
      <c r="D22" s="1225"/>
      <c r="E22" s="1012"/>
      <c r="F22" s="1013"/>
      <c r="G22" s="1221"/>
      <c r="H22" s="1413"/>
      <c r="I22" s="1219"/>
      <c r="J22" s="1219"/>
      <c r="K22" s="1219"/>
      <c r="L22" s="1219"/>
      <c r="M22" s="974"/>
      <c r="N22" s="975"/>
      <c r="O22" s="997">
        <v>52</v>
      </c>
      <c r="P22" s="997">
        <v>9</v>
      </c>
      <c r="Q22" s="997" t="str">
        <f t="shared" si="4"/>
        <v>F09N</v>
      </c>
      <c r="R22" s="998">
        <f t="shared" si="5"/>
      </c>
      <c r="S22" s="1218"/>
      <c r="T22" s="1218"/>
      <c r="U22" s="1218"/>
      <c r="V22" s="1218"/>
      <c r="W22" s="1218"/>
    </row>
    <row r="23" spans="1:23" ht="15" customHeight="1" thickBot="1">
      <c r="A23" s="996" t="s">
        <v>829</v>
      </c>
      <c r="B23" s="1182" t="s">
        <v>855</v>
      </c>
      <c r="C23" s="1181"/>
      <c r="D23" s="1225"/>
      <c r="E23" s="1012"/>
      <c r="F23" s="1013"/>
      <c r="G23" s="1221"/>
      <c r="H23" s="1414"/>
      <c r="I23" s="1219"/>
      <c r="J23" s="1219"/>
      <c r="K23" s="1219"/>
      <c r="L23" s="1219"/>
      <c r="M23" s="974"/>
      <c r="N23" s="975"/>
      <c r="O23" s="997">
        <v>52</v>
      </c>
      <c r="P23" s="997">
        <v>9</v>
      </c>
      <c r="Q23" s="997" t="str">
        <f t="shared" si="4"/>
        <v>F09O</v>
      </c>
      <c r="R23" s="998">
        <f t="shared" si="5"/>
      </c>
      <c r="S23" s="1218"/>
      <c r="T23" s="1218"/>
      <c r="U23" s="1218"/>
      <c r="V23" s="1218"/>
      <c r="W23" s="1218"/>
    </row>
    <row r="24" spans="1:23" ht="15" customHeight="1">
      <c r="A24" s="996" t="s">
        <v>830</v>
      </c>
      <c r="B24" s="1182" t="s">
        <v>534</v>
      </c>
      <c r="C24" s="1181"/>
      <c r="D24" s="1225"/>
      <c r="E24" s="1012"/>
      <c r="F24" s="1013"/>
      <c r="G24" s="1221"/>
      <c r="H24" s="1235"/>
      <c r="I24" s="1219"/>
      <c r="J24" s="1219"/>
      <c r="K24" s="1219"/>
      <c r="L24" s="1219"/>
      <c r="M24" s="974"/>
      <c r="N24" s="975"/>
      <c r="O24" s="997">
        <v>52</v>
      </c>
      <c r="P24" s="997">
        <v>9</v>
      </c>
      <c r="Q24" s="997" t="str">
        <f t="shared" si="4"/>
        <v>F995</v>
      </c>
      <c r="R24" s="998">
        <f t="shared" si="5"/>
      </c>
      <c r="S24" s="1218"/>
      <c r="T24" s="1218"/>
      <c r="U24" s="1218"/>
      <c r="V24" s="1218"/>
      <c r="W24" s="1218"/>
    </row>
    <row r="25" spans="1:23" ht="15" customHeight="1">
      <c r="A25" s="996" t="s">
        <v>831</v>
      </c>
      <c r="B25" s="1182" t="s">
        <v>536</v>
      </c>
      <c r="C25" s="1181"/>
      <c r="D25" s="1225"/>
      <c r="E25" s="1012"/>
      <c r="F25" s="1013"/>
      <c r="G25" s="1221"/>
      <c r="H25" s="1235"/>
      <c r="I25" s="1219"/>
      <c r="J25" s="1219"/>
      <c r="K25" s="1219"/>
      <c r="L25" s="1219"/>
      <c r="M25" s="974"/>
      <c r="N25" s="975"/>
      <c r="O25" s="997">
        <v>52</v>
      </c>
      <c r="P25" s="997">
        <v>9</v>
      </c>
      <c r="Q25" s="997" t="str">
        <f t="shared" si="4"/>
        <v>F999</v>
      </c>
      <c r="R25" s="998">
        <f t="shared" si="5"/>
      </c>
      <c r="S25" s="1218"/>
      <c r="T25" s="1218"/>
      <c r="U25" s="1218"/>
      <c r="V25" s="1218"/>
      <c r="W25" s="1218"/>
    </row>
    <row r="26" spans="1:23" ht="15" customHeight="1" thickBot="1">
      <c r="A26" s="999" t="s">
        <v>382</v>
      </c>
      <c r="B26" s="1000"/>
      <c r="C26" s="1188">
        <f>SUM(C16:C25)</f>
        <v>0</v>
      </c>
      <c r="D26" s="1225"/>
      <c r="E26" s="1012"/>
      <c r="F26" s="1013"/>
      <c r="G26" s="1221"/>
      <c r="H26" s="1235"/>
      <c r="I26" s="1219"/>
      <c r="J26" s="1219"/>
      <c r="K26" s="1219"/>
      <c r="L26" s="1219"/>
      <c r="M26" s="974"/>
      <c r="N26" s="975"/>
      <c r="O26" s="997"/>
      <c r="P26" s="997"/>
      <c r="Q26" s="997"/>
      <c r="R26" s="998"/>
      <c r="S26" s="1218"/>
      <c r="T26" s="1218"/>
      <c r="U26" s="1218"/>
      <c r="V26" s="1218"/>
      <c r="W26" s="1218"/>
    </row>
    <row r="27" spans="1:23" ht="15" customHeight="1">
      <c r="A27" s="1162" t="s">
        <v>780</v>
      </c>
      <c r="B27" s="1163"/>
      <c r="C27" s="1164"/>
      <c r="D27" s="1225"/>
      <c r="E27" s="1012"/>
      <c r="F27" s="1013"/>
      <c r="G27" s="1221"/>
      <c r="H27" s="1235"/>
      <c r="I27" s="1219"/>
      <c r="J27" s="1219"/>
      <c r="K27" s="1219"/>
      <c r="L27" s="1219"/>
      <c r="M27" s="974"/>
      <c r="N27" s="975"/>
      <c r="O27" s="997"/>
      <c r="P27" s="997"/>
      <c r="Q27" s="997"/>
      <c r="R27" s="998"/>
      <c r="S27" s="1218"/>
      <c r="T27" s="1218"/>
      <c r="U27" s="1218"/>
      <c r="V27" s="1218"/>
      <c r="W27" s="1218"/>
    </row>
    <row r="28" spans="1:23" ht="15" customHeight="1">
      <c r="A28" s="996" t="s">
        <v>832</v>
      </c>
      <c r="B28" s="985" t="s">
        <v>782</v>
      </c>
      <c r="C28" s="1181"/>
      <c r="D28" s="1225"/>
      <c r="E28" s="1012"/>
      <c r="F28" s="1013"/>
      <c r="G28" s="1221"/>
      <c r="H28" s="1235"/>
      <c r="I28" s="1219"/>
      <c r="J28" s="1219"/>
      <c r="K28" s="1219"/>
      <c r="L28" s="1219"/>
      <c r="M28" s="974"/>
      <c r="N28" s="975"/>
      <c r="O28" s="997">
        <v>52</v>
      </c>
      <c r="P28" s="997">
        <v>81</v>
      </c>
      <c r="Q28" s="997" t="str">
        <f>B28</f>
        <v>F02P</v>
      </c>
      <c r="R28" s="998">
        <f>IF(ISNUMBER(C28),ROUND(C28,0),"")</f>
      </c>
      <c r="S28" s="1218"/>
      <c r="T28" s="1218"/>
      <c r="U28" s="1218"/>
      <c r="V28" s="1218"/>
      <c r="W28" s="1218"/>
    </row>
    <row r="29" spans="1:23" ht="15" customHeight="1">
      <c r="A29" s="996" t="s">
        <v>833</v>
      </c>
      <c r="B29" s="985" t="s">
        <v>650</v>
      </c>
      <c r="C29" s="1181"/>
      <c r="D29" s="1225"/>
      <c r="E29" s="1012"/>
      <c r="F29" s="1013"/>
      <c r="G29" s="1221"/>
      <c r="H29" s="1235"/>
      <c r="I29" s="1219"/>
      <c r="J29" s="1219"/>
      <c r="K29" s="1219"/>
      <c r="L29" s="1219"/>
      <c r="M29" s="974"/>
      <c r="N29" s="975"/>
      <c r="O29" s="997">
        <v>52</v>
      </c>
      <c r="P29" s="997">
        <v>81</v>
      </c>
      <c r="Q29" s="997" t="str">
        <f>B29</f>
        <v>F27I</v>
      </c>
      <c r="R29" s="998">
        <f>IF(ISNUMBER(C29),ROUND(C29,0),"")</f>
      </c>
      <c r="S29" s="1218"/>
      <c r="T29" s="1218"/>
      <c r="U29" s="1218"/>
      <c r="V29" s="1218"/>
      <c r="W29" s="1218"/>
    </row>
    <row r="30" spans="1:23" ht="15" customHeight="1">
      <c r="A30" s="996" t="s">
        <v>834</v>
      </c>
      <c r="B30" s="985" t="s">
        <v>797</v>
      </c>
      <c r="C30" s="1181"/>
      <c r="D30" s="1225"/>
      <c r="E30" s="1012"/>
      <c r="F30" s="1013"/>
      <c r="G30" s="1221"/>
      <c r="H30" s="1235"/>
      <c r="I30" s="1219"/>
      <c r="J30" s="1219"/>
      <c r="K30" s="1219"/>
      <c r="L30" s="1219"/>
      <c r="M30" s="974"/>
      <c r="N30" s="975"/>
      <c r="O30" s="997">
        <v>52</v>
      </c>
      <c r="P30" s="997">
        <v>81</v>
      </c>
      <c r="Q30" s="997" t="str">
        <f>B30</f>
        <v>F00P</v>
      </c>
      <c r="R30" s="998">
        <f>IF(ISNUMBER(C30),ROUND(C30,0),"")</f>
      </c>
      <c r="S30" s="1218"/>
      <c r="T30" s="1218"/>
      <c r="U30" s="1218"/>
      <c r="V30" s="1218"/>
      <c r="W30" s="1218"/>
    </row>
    <row r="31" spans="1:23" ht="15" customHeight="1">
      <c r="A31" s="996" t="s">
        <v>835</v>
      </c>
      <c r="B31" s="1183" t="s">
        <v>836</v>
      </c>
      <c r="C31" s="1181"/>
      <c r="D31" s="1224"/>
      <c r="E31" s="1012"/>
      <c r="F31" s="1013"/>
      <c r="G31" s="1221"/>
      <c r="H31" s="1235"/>
      <c r="I31" s="1219"/>
      <c r="J31" s="1219"/>
      <c r="K31" s="1219"/>
      <c r="L31" s="1219"/>
      <c r="M31" s="974"/>
      <c r="N31" s="975"/>
      <c r="O31" s="997">
        <v>52</v>
      </c>
      <c r="P31" s="997">
        <v>81</v>
      </c>
      <c r="Q31" s="997" t="str">
        <f>B31</f>
        <v>F01S</v>
      </c>
      <c r="R31" s="998">
        <f>IF(ISNUMBER(C31),ROUND(C31,0),"")</f>
      </c>
      <c r="S31" s="1218"/>
      <c r="T31" s="1218"/>
      <c r="U31" s="1218"/>
      <c r="V31" s="1218"/>
      <c r="W31" s="1218"/>
    </row>
    <row r="32" spans="1:23" ht="15" customHeight="1">
      <c r="A32" s="996" t="s">
        <v>837</v>
      </c>
      <c r="B32" s="1182" t="s">
        <v>796</v>
      </c>
      <c r="C32" s="1226"/>
      <c r="D32" s="1225"/>
      <c r="E32" s="1012"/>
      <c r="F32" s="1013"/>
      <c r="G32" s="1221"/>
      <c r="H32" s="1235"/>
      <c r="I32" s="1219"/>
      <c r="J32" s="1219"/>
      <c r="K32" s="1219"/>
      <c r="L32" s="1219"/>
      <c r="M32" s="974"/>
      <c r="N32" s="975"/>
      <c r="O32" s="997">
        <v>52</v>
      </c>
      <c r="P32" s="997">
        <v>81</v>
      </c>
      <c r="Q32" s="997" t="str">
        <f>B32</f>
        <v>F01P</v>
      </c>
      <c r="R32" s="998">
        <f>IF(ISNUMBER(C32),ROUND(C32,0),"")</f>
      </c>
      <c r="S32" s="1218"/>
      <c r="T32" s="1218"/>
      <c r="U32" s="1218"/>
      <c r="V32" s="1218"/>
      <c r="W32" s="1218"/>
    </row>
    <row r="33" spans="1:23" ht="15" customHeight="1" thickBot="1">
      <c r="A33" s="1187" t="s">
        <v>783</v>
      </c>
      <c r="B33" s="1000"/>
      <c r="C33" s="1188">
        <f>SUM(C28:C32)</f>
        <v>0</v>
      </c>
      <c r="D33" s="1225"/>
      <c r="E33" s="1012"/>
      <c r="F33" s="1013"/>
      <c r="G33" s="1221"/>
      <c r="H33" s="1235"/>
      <c r="I33" s="1219"/>
      <c r="J33" s="1219"/>
      <c r="K33" s="1219"/>
      <c r="L33" s="1219"/>
      <c r="M33" s="974"/>
      <c r="N33" s="975"/>
      <c r="O33" s="1218" t="s">
        <v>586</v>
      </c>
      <c r="P33" s="997"/>
      <c r="Q33" s="997"/>
      <c r="R33" s="998"/>
      <c r="S33" s="1218"/>
      <c r="T33" s="1218"/>
      <c r="U33" s="1218"/>
      <c r="V33" s="1218"/>
      <c r="W33" s="1218"/>
    </row>
    <row r="34" spans="1:23" ht="15" customHeight="1" thickBot="1">
      <c r="A34" s="1192" t="s">
        <v>852</v>
      </c>
      <c r="B34" s="1016"/>
      <c r="C34" s="1017">
        <f>C14+C26-C33</f>
        <v>0</v>
      </c>
      <c r="D34" s="1225"/>
      <c r="E34" s="1014"/>
      <c r="F34" s="1019"/>
      <c r="G34" s="1227"/>
      <c r="H34" s="1235"/>
      <c r="I34" s="1219"/>
      <c r="J34" s="1219"/>
      <c r="K34" s="1219"/>
      <c r="L34" s="1219"/>
      <c r="M34" s="974"/>
      <c r="N34" s="975"/>
      <c r="O34" s="997"/>
      <c r="P34" s="997"/>
      <c r="Q34" s="997"/>
      <c r="R34" s="998"/>
      <c r="S34" s="1218"/>
      <c r="T34" s="1218"/>
      <c r="U34" s="1218"/>
      <c r="V34" s="1218"/>
      <c r="W34" s="1218"/>
    </row>
    <row r="35" spans="1:23" ht="15" customHeight="1" thickBot="1">
      <c r="A35" s="1166" t="s">
        <v>784</v>
      </c>
      <c r="B35" s="1167"/>
      <c r="C35" s="1165">
        <f>C34</f>
        <v>0</v>
      </c>
      <c r="D35" s="1225"/>
      <c r="E35" s="1166" t="s">
        <v>787</v>
      </c>
      <c r="F35" s="1238"/>
      <c r="G35" s="1165">
        <f>G17</f>
        <v>0</v>
      </c>
      <c r="H35" s="1235"/>
      <c r="I35" s="1219"/>
      <c r="J35" s="1219"/>
      <c r="K35" s="1219"/>
      <c r="L35" s="1219"/>
      <c r="M35" s="974"/>
      <c r="N35" s="975"/>
      <c r="O35" s="997"/>
      <c r="P35" s="997"/>
      <c r="Q35" s="997"/>
      <c r="R35" s="998"/>
      <c r="S35" s="1218"/>
      <c r="T35" s="1218"/>
      <c r="U35" s="1218"/>
      <c r="V35" s="1218"/>
      <c r="W35" s="1218"/>
    </row>
    <row r="36" spans="1:23" ht="15" customHeight="1">
      <c r="A36" s="975"/>
      <c r="C36" s="975"/>
      <c r="D36" s="1239"/>
      <c r="E36" s="975"/>
      <c r="F36" s="975"/>
      <c r="G36" s="975"/>
      <c r="H36" s="1219"/>
      <c r="I36" s="1219"/>
      <c r="J36" s="1219"/>
      <c r="K36" s="1219"/>
      <c r="L36" s="1219"/>
      <c r="M36" s="974"/>
      <c r="N36" s="975"/>
      <c r="S36" s="1218"/>
      <c r="T36" s="1218"/>
      <c r="U36" s="1218"/>
      <c r="V36" s="1218"/>
      <c r="W36" s="1218"/>
    </row>
    <row r="37" spans="1:23" ht="15" customHeight="1">
      <c r="A37" s="976" t="s">
        <v>865</v>
      </c>
      <c r="C37" s="975"/>
      <c r="D37" s="1240"/>
      <c r="E37" s="975"/>
      <c r="F37" s="975"/>
      <c r="G37" s="975"/>
      <c r="H37" s="1219"/>
      <c r="I37" s="1219"/>
      <c r="J37" s="1219"/>
      <c r="K37" s="1219"/>
      <c r="L37" s="1219"/>
      <c r="M37" s="974"/>
      <c r="N37" s="975"/>
      <c r="S37" s="1218"/>
      <c r="T37" s="1218"/>
      <c r="U37" s="1218"/>
      <c r="V37" s="1218"/>
      <c r="W37" s="1218"/>
    </row>
    <row r="38" spans="1:23" ht="15" customHeight="1">
      <c r="A38" s="976" t="s">
        <v>866</v>
      </c>
      <c r="D38" s="1239"/>
      <c r="H38" s="1219"/>
      <c r="I38" s="1219"/>
      <c r="J38" s="1219"/>
      <c r="K38" s="1219"/>
      <c r="L38" s="1219"/>
      <c r="M38" s="974"/>
      <c r="N38" s="975"/>
      <c r="S38" s="1218"/>
      <c r="T38" s="1218"/>
      <c r="U38" s="1218"/>
      <c r="V38" s="1218"/>
      <c r="W38" s="1218"/>
    </row>
    <row r="39" spans="4:23" ht="15" customHeight="1">
      <c r="D39" s="1239"/>
      <c r="H39" s="1219"/>
      <c r="I39" s="1219"/>
      <c r="J39" s="1219"/>
      <c r="K39" s="1219"/>
      <c r="L39" s="1219"/>
      <c r="M39" s="974"/>
      <c r="N39" s="975"/>
      <c r="S39" s="1218"/>
      <c r="T39" s="1218"/>
      <c r="U39" s="1218"/>
      <c r="V39" s="1218"/>
      <c r="W39" s="1218"/>
    </row>
    <row r="40" spans="4:23" ht="15" customHeight="1">
      <c r="D40" s="975"/>
      <c r="H40" s="1219"/>
      <c r="I40" s="1219"/>
      <c r="J40" s="1219"/>
      <c r="K40" s="1219"/>
      <c r="L40" s="1219"/>
      <c r="M40" s="974"/>
      <c r="N40" s="975"/>
      <c r="S40" s="1218"/>
      <c r="T40" s="1218"/>
      <c r="U40" s="1218"/>
      <c r="V40" s="1218"/>
      <c r="W40" s="1218"/>
    </row>
    <row r="41" ht="9.75">
      <c r="D41" s="975"/>
    </row>
  </sheetData>
  <sheetProtection password="EA98" sheet="1" formatColumns="0" selectLockedCells="1"/>
  <mergeCells count="3">
    <mergeCell ref="H4:H9"/>
    <mergeCell ref="H11:H16"/>
    <mergeCell ref="H18:H23"/>
  </mergeCells>
  <dataValidations count="2">
    <dataValidation type="whole" allowBlank="1" showInputMessage="1" showErrorMessage="1" errorTitle="ERRORE NEL DATO IMMESSO" error="INSERIRE SOLO NUMERI INTERI" sqref="C28:C32 C7:C13 C16:C25 G7:G15">
      <formula1>0</formula1>
      <formula2>999999999999</formula2>
    </dataValidation>
    <dataValidation type="whole" allowBlank="1" showInputMessage="1" showErrorMessage="1" errorTitle="ERRORE NEL DATO IMMESSO" error="INSERIRE SOLO NUMERI INTERI" sqref="C14 C33:C34 C26:C27 G16:G34">
      <formula1>-999999999999</formula1>
      <formula2>999999999999</formula2>
    </dataValidation>
  </dataValidations>
  <printOptions horizontalCentered="1" verticalCentered="1"/>
  <pageMargins left="0.3937007874015748" right="0.3937007874015748" top="0.3937007874015748" bottom="0.3937007874015748" header="0.5118110236220472" footer="0.1968503937007874"/>
  <pageSetup horizontalDpi="300" verticalDpi="300" orientation="landscape" paperSize="9" scale="78" r:id="rId2"/>
  <drawing r:id="rId1"/>
</worksheet>
</file>

<file path=xl/worksheets/sheet21.xml><?xml version="1.0" encoding="utf-8"?>
<worksheet xmlns="http://schemas.openxmlformats.org/spreadsheetml/2006/main" xmlns:r="http://schemas.openxmlformats.org/officeDocument/2006/relationships">
  <dimension ref="A1:N71"/>
  <sheetViews>
    <sheetView showGridLines="0" zoomScale="75" zoomScaleNormal="75" zoomScalePageLayoutView="0" workbookViewId="0" topLeftCell="A1">
      <selection activeCell="E13" sqref="E13"/>
    </sheetView>
  </sheetViews>
  <sheetFormatPr defaultColWidth="11.66015625" defaultRowHeight="10.5"/>
  <cols>
    <col min="1" max="1" width="10.33203125" style="1099" customWidth="1"/>
    <col min="2" max="2" width="10.33203125" style="1100" customWidth="1"/>
    <col min="3" max="3" width="184.5" style="1057" customWidth="1"/>
    <col min="4" max="4" width="3" style="1057" customWidth="1"/>
    <col min="5" max="5" width="18.5" style="1101" bestFit="1" customWidth="1"/>
    <col min="6" max="6" width="52.33203125" style="1054" customWidth="1"/>
    <col min="7" max="7" width="11.66015625" style="1063" customWidth="1"/>
    <col min="8" max="8" width="11.66015625" style="1064" customWidth="1"/>
    <col min="9" max="9" width="11.66015625" style="1096" customWidth="1"/>
    <col min="10" max="10" width="11.66015625" style="1057" customWidth="1"/>
    <col min="11" max="14" width="13.33203125" style="1057" hidden="1" customWidth="1"/>
    <col min="15" max="16384" width="11.66015625" style="1057" customWidth="1"/>
  </cols>
  <sheetData>
    <row r="1" spans="1:9" s="939" customFormat="1" ht="45" customHeight="1" thickBot="1">
      <c r="A1" s="1020" t="s">
        <v>693</v>
      </c>
      <c r="B1" s="1021"/>
      <c r="C1" s="1022"/>
      <c r="D1" s="1022"/>
      <c r="E1" s="1023"/>
      <c r="F1" s="982" t="s">
        <v>694</v>
      </c>
      <c r="H1" s="1024" t="s">
        <v>507</v>
      </c>
      <c r="I1" s="1025"/>
    </row>
    <row r="2" spans="1:9" s="939" customFormat="1" ht="41.25" customHeight="1">
      <c r="A2" s="1026" t="s">
        <v>695</v>
      </c>
      <c r="B2" s="1027"/>
      <c r="C2" s="1028"/>
      <c r="D2" s="1029"/>
      <c r="E2" s="1030"/>
      <c r="F2" s="1412" t="str">
        <f>IF(AND(ISBLANK($E$23),OR(SUMIF('t1'!N:N,$H$1,'t1'!AI:AI)+SUMIF('t1'!N:N,$H$1,'t1'!AJ:AJ)&gt;0,SUMIF('t12'!L:L,$H$1,'t12'!AA:AA)&gt;0)),"Attenzione: è necessario compilare la domanda GEN195 !!!","OK")</f>
        <v>OK</v>
      </c>
      <c r="G2" s="1031"/>
      <c r="H2" s="1032"/>
      <c r="I2" s="1025"/>
    </row>
    <row r="3" spans="1:9" s="942" customFormat="1" ht="30" customHeight="1" thickBot="1">
      <c r="A3" s="951"/>
      <c r="B3" s="1033"/>
      <c r="C3" s="622"/>
      <c r="D3" s="940"/>
      <c r="E3" s="941"/>
      <c r="F3" s="1418"/>
      <c r="G3" s="1031"/>
      <c r="H3" s="1032"/>
      <c r="I3" s="1025"/>
    </row>
    <row r="4" spans="1:9" s="939" customFormat="1" ht="16.5" customHeight="1">
      <c r="A4" s="952"/>
      <c r="B4" s="1034"/>
      <c r="C4" s="943"/>
      <c r="D4" s="943"/>
      <c r="E4" s="943"/>
      <c r="F4" s="1419" t="s">
        <v>696</v>
      </c>
      <c r="G4" s="943"/>
      <c r="H4" s="1035"/>
      <c r="I4" s="943"/>
    </row>
    <row r="5" spans="2:8" s="939" customFormat="1" ht="20.25" customHeight="1" thickBot="1">
      <c r="B5" s="1036"/>
      <c r="C5" s="944" t="s">
        <v>340</v>
      </c>
      <c r="F5" s="1420"/>
      <c r="H5" s="1037"/>
    </row>
    <row r="6" spans="1:8" s="946" customFormat="1" ht="20.25" customHeight="1">
      <c r="A6" s="1038" t="str">
        <f>'t1'!$A$1</f>
        <v>CNEL - anno 2018</v>
      </c>
      <c r="B6" s="1039"/>
      <c r="C6" s="1040"/>
      <c r="D6" s="1041"/>
      <c r="E6" s="1041"/>
      <c r="F6" s="1421" t="str">
        <f>IF(AND(ISBLANK(E17),ISBLANK(E19),ISBLANK(E21)),"OK",IF(AND(OR(ISBLANK(E17),YEAR(E17)&gt;'t1'!L1-1),OR(ISBLANK(E19),YEAR(E19)&gt;'t1'!L1-1),OR(ISBLANK(E21),YEAR(E21)&gt;'t1'!L1-1)),"OK","Attenzione: almeno una data di certificazione è antececedente l'1 gennaio dell'anno di riferimento, è necessario giustificare"))</f>
        <v>OK</v>
      </c>
      <c r="H6" s="1042"/>
    </row>
    <row r="7" spans="1:9" s="946" customFormat="1" ht="11.25" customHeight="1">
      <c r="A7" s="953"/>
      <c r="B7" s="1043"/>
      <c r="C7" s="945"/>
      <c r="D7" s="945"/>
      <c r="E7" s="948"/>
      <c r="F7" s="1422"/>
      <c r="H7" s="1042"/>
      <c r="I7" s="945"/>
    </row>
    <row r="8" spans="1:14" s="946" customFormat="1" ht="30.75" customHeight="1">
      <c r="A8" s="949"/>
      <c r="B8" s="1044"/>
      <c r="C8" s="1045" t="s">
        <v>697</v>
      </c>
      <c r="F8" s="1422"/>
      <c r="G8" s="1046"/>
      <c r="H8" s="1042"/>
      <c r="N8" s="1047" t="s">
        <v>698</v>
      </c>
    </row>
    <row r="9" spans="1:14" s="946" customFormat="1" ht="30.75" customHeight="1" thickBot="1">
      <c r="A9" s="949"/>
      <c r="B9" s="1044"/>
      <c r="C9" s="945"/>
      <c r="D9" s="945"/>
      <c r="E9" s="950"/>
      <c r="F9" s="1423"/>
      <c r="G9" s="947"/>
      <c r="H9" s="1048"/>
      <c r="I9" s="947"/>
      <c r="N9" s="1049">
        <f>(COUNTIF(E:E,"&lt;&gt;"&amp;"")+COUNTIF(C68,"&lt;&gt;"&amp;"")+COUNTIF(C71,"&lt;&gt;"&amp;""))</f>
        <v>0</v>
      </c>
    </row>
    <row r="10" spans="1:9" ht="3.75" customHeight="1">
      <c r="A10" s="1050"/>
      <c r="B10" s="1051"/>
      <c r="C10" s="1052"/>
      <c r="D10" s="1050"/>
      <c r="E10" s="1053"/>
      <c r="G10" s="1055"/>
      <c r="H10" s="1050"/>
      <c r="I10" s="1056"/>
    </row>
    <row r="11" spans="1:14" s="1063" customFormat="1" ht="30" customHeight="1">
      <c r="A11" s="1058" t="s">
        <v>699</v>
      </c>
      <c r="B11" s="1059"/>
      <c r="C11" s="1060" t="s">
        <v>700</v>
      </c>
      <c r="D11" s="1058"/>
      <c r="E11" s="1061"/>
      <c r="F11" s="1062"/>
      <c r="H11" s="1064"/>
      <c r="I11" s="1065"/>
      <c r="K11" s="1047" t="s">
        <v>701</v>
      </c>
      <c r="L11" s="1047" t="s">
        <v>702</v>
      </c>
      <c r="M11" s="1047" t="s">
        <v>703</v>
      </c>
      <c r="N11" s="1047" t="s">
        <v>691</v>
      </c>
    </row>
    <row r="12" spans="1:9" s="1063" customFormat="1" ht="3.75" customHeight="1">
      <c r="A12" s="1066"/>
      <c r="B12" s="1067"/>
      <c r="C12" s="1066"/>
      <c r="D12" s="1066"/>
      <c r="E12" s="1068"/>
      <c r="H12" s="1064"/>
      <c r="I12" s="1065"/>
    </row>
    <row r="13" spans="1:14" s="1082" customFormat="1" ht="30" customHeight="1">
      <c r="A13" s="1243" t="s">
        <v>704</v>
      </c>
      <c r="B13" s="1244" t="s">
        <v>705</v>
      </c>
      <c r="C13" s="1245" t="s">
        <v>706</v>
      </c>
      <c r="D13" s="1246"/>
      <c r="E13" s="1247"/>
      <c r="F13" s="1168">
        <f>IF(AND(LEN(E13)=1,OR(UPPER(E13)="N",UPPER(E13)="S")),"",IF(ISBLANK(E13),"","  Errore ! Inserire S o N"))</f>
      </c>
      <c r="K13" s="1083" t="str">
        <f>LEFT(A13,3)</f>
        <v>GEN</v>
      </c>
      <c r="L13" s="1083" t="str">
        <f>RIGHT(A13,3)</f>
        <v>172</v>
      </c>
      <c r="M13" s="1083" t="str">
        <f>B13</f>
        <v>FLAG</v>
      </c>
      <c r="N13" s="1084">
        <f>IF(AND(LEN(E13)=1,OR(UPPER(E13)="N",UPPER(E13)="S")),UPPER(E13),"")</f>
      </c>
    </row>
    <row r="14" spans="1:6" s="1082" customFormat="1" ht="3.75" customHeight="1">
      <c r="A14" s="1243"/>
      <c r="B14" s="1243"/>
      <c r="C14" s="1248"/>
      <c r="D14" s="1248"/>
      <c r="E14" s="1249"/>
      <c r="F14" s="1168">
        <f>IF(AND(LEN(E14)=1,OR(UPPER(E14)="N",UPPER(E14)="S")),"",IF(ISBLANK(E14),"","  Errore ! Inserire S o N"))</f>
      </c>
    </row>
    <row r="15" spans="1:14" s="1082" customFormat="1" ht="30" customHeight="1">
      <c r="A15" s="1243" t="s">
        <v>707</v>
      </c>
      <c r="B15" s="1244" t="s">
        <v>705</v>
      </c>
      <c r="C15" s="1245" t="s">
        <v>708</v>
      </c>
      <c r="D15" s="1246"/>
      <c r="E15" s="1247"/>
      <c r="F15" s="1168">
        <f>IF(AND(LEN(E15)=1,OR(UPPER(E15)="N",UPPER(E15)="S")),"",IF(ISBLANK(E15),"","  Errore ! Inserire S o N"))</f>
      </c>
      <c r="K15" s="1083" t="str">
        <f>LEFT(A15,3)</f>
        <v>GEN</v>
      </c>
      <c r="L15" s="1083" t="str">
        <f>RIGHT(A15,3)</f>
        <v>207</v>
      </c>
      <c r="M15" s="1083" t="str">
        <f>B15</f>
        <v>FLAG</v>
      </c>
      <c r="N15" s="1084">
        <f>IF(AND(LEN(E15)=1,OR(UPPER(E15)="N",UPPER(E15)="S")),UPPER(E15),"")</f>
      </c>
    </row>
    <row r="16" spans="1:6" s="1082" customFormat="1" ht="3.75" customHeight="1">
      <c r="A16" s="1243"/>
      <c r="B16" s="1243"/>
      <c r="C16" s="1248"/>
      <c r="D16" s="1248"/>
      <c r="E16" s="1249"/>
      <c r="F16" s="1169"/>
    </row>
    <row r="17" spans="1:14" s="1082" customFormat="1" ht="30" customHeight="1">
      <c r="A17" s="1250" t="s">
        <v>789</v>
      </c>
      <c r="B17" s="1251" t="s">
        <v>709</v>
      </c>
      <c r="C17" s="1252" t="s">
        <v>790</v>
      </c>
      <c r="D17" s="1063"/>
      <c r="E17" s="1078"/>
      <c r="F17" s="1168">
        <f ca="1">IF(ISBLANK(E17),"",IF(AND(E17&gt;=DATE('t1'!$L$1-1,1,1),E17&lt;=TODAY()),"","Digitare una data non anteriore al 1 Gennaio "&amp;'t1'!$L$1-1&amp;" (gg/mm/aaaa)"))</f>
      </c>
      <c r="K17" s="1083" t="str">
        <f>LEFT(A17,3)</f>
        <v>GEN</v>
      </c>
      <c r="L17" s="1083" t="str">
        <f>RIGHT(A17,3)</f>
        <v>353</v>
      </c>
      <c r="M17" s="1083" t="str">
        <f>B17</f>
        <v>DATE</v>
      </c>
      <c r="N17" s="1253">
        <f ca="1">IF(AND(E17&gt;=DATE(2017,1,1),E17&lt;=TODAY()),"'"&amp;DAY(E17)&amp;"/"&amp;MONTH(E17)&amp;"/"&amp;YEAR(E17),"")</f>
      </c>
    </row>
    <row r="18" spans="1:6" s="1082" customFormat="1" ht="3.75" customHeight="1">
      <c r="A18" s="1243"/>
      <c r="B18" s="1243"/>
      <c r="C18" s="1248"/>
      <c r="D18" s="1248"/>
      <c r="E18" s="1249"/>
      <c r="F18" s="1169"/>
    </row>
    <row r="19" spans="1:14" s="1082" customFormat="1" ht="30" customHeight="1">
      <c r="A19" s="1250" t="s">
        <v>791</v>
      </c>
      <c r="B19" s="1251" t="s">
        <v>709</v>
      </c>
      <c r="C19" s="1252" t="s">
        <v>792</v>
      </c>
      <c r="D19" s="1063"/>
      <c r="E19" s="1078"/>
      <c r="F19" s="1168">
        <f ca="1">IF(ISBLANK(E19),"",IF(AND(E19&gt;=DATE('t1'!$L$1-1,1,1),E19&lt;=TODAY()),"","Digitare una data non anteriore al 1 Gennaio "&amp;'t1'!$L$1-1&amp;" (gg/mm/aaaa)"))</f>
      </c>
      <c r="K19" s="1083" t="str">
        <f>LEFT(A19,3)</f>
        <v>GEN</v>
      </c>
      <c r="L19" s="1083" t="str">
        <f>RIGHT(A19,3)</f>
        <v>354</v>
      </c>
      <c r="M19" s="1083" t="str">
        <f>B19</f>
        <v>DATE</v>
      </c>
      <c r="N19" s="1253">
        <f ca="1">IF(AND(E19&gt;=DATE(2017,1,1),E19&lt;=TODAY()),"'"&amp;DAY(E19)&amp;"/"&amp;MONTH(E19)&amp;"/"&amp;YEAR(E19),"")</f>
      </c>
    </row>
    <row r="20" spans="1:6" s="1082" customFormat="1" ht="3.75" customHeight="1">
      <c r="A20" s="1243"/>
      <c r="B20" s="1243"/>
      <c r="C20" s="1248"/>
      <c r="D20" s="1248"/>
      <c r="E20" s="1249"/>
      <c r="F20" s="1169"/>
    </row>
    <row r="21" spans="1:14" s="1082" customFormat="1" ht="30" customHeight="1">
      <c r="A21" s="1250" t="s">
        <v>793</v>
      </c>
      <c r="B21" s="1251" t="s">
        <v>709</v>
      </c>
      <c r="C21" s="1252" t="s">
        <v>794</v>
      </c>
      <c r="D21" s="1254"/>
      <c r="E21" s="1078"/>
      <c r="F21" s="1168">
        <f ca="1">IF(ISBLANK(E21),"",IF(AND(E21&gt;=DATE('t1'!$L$1-1,1,1),E21&lt;=TODAY()),"","Digitare una data non anteriore al 1 Gennaio "&amp;'t1'!$L$1-1&amp;" (gg/mm/aaaa)"))</f>
      </c>
      <c r="K21" s="1083" t="str">
        <f>LEFT(A21,3)</f>
        <v>GEN</v>
      </c>
      <c r="L21" s="1083" t="str">
        <f>RIGHT(A21,3)</f>
        <v>355</v>
      </c>
      <c r="M21" s="1083" t="str">
        <f>B21</f>
        <v>DATE</v>
      </c>
      <c r="N21" s="1253">
        <f ca="1">IF(AND(E21&gt;=DATE(2017,1,1),E21&lt;=TODAY()),"'"&amp;DAY(E21)&amp;"/"&amp;MONTH(E21)&amp;"/"&amp;YEAR(E21),"")</f>
      </c>
    </row>
    <row r="22" spans="1:6" s="1082" customFormat="1" ht="3.75" customHeight="1">
      <c r="A22" s="1243"/>
      <c r="B22" s="1243"/>
      <c r="C22" s="1248"/>
      <c r="D22" s="1248"/>
      <c r="E22" s="1249"/>
      <c r="F22" s="1169"/>
    </row>
    <row r="23" spans="1:14" s="1082" customFormat="1" ht="30" customHeight="1">
      <c r="A23" s="1069" t="s">
        <v>710</v>
      </c>
      <c r="B23" s="1070" t="s">
        <v>711</v>
      </c>
      <c r="C23" s="1252" t="s">
        <v>712</v>
      </c>
      <c r="D23" s="1063"/>
      <c r="E23" s="1079"/>
      <c r="F23" s="1168">
        <f>IF(ISBLANK(E23),"",IF(ISNUMBER(E23),IF(E23-INT(E23)=0,"","  Errore ! Inserire un numero intero senza decimali"),"  Errore ! Inserire un numero intero senza decimali"))</f>
      </c>
      <c r="K23" s="1083" t="str">
        <f>LEFT(A23,3)</f>
        <v>GEN</v>
      </c>
      <c r="L23" s="1083" t="str">
        <f>RIGHT(A23,3)</f>
        <v>195</v>
      </c>
      <c r="M23" s="1083" t="str">
        <f>B23</f>
        <v>INT</v>
      </c>
      <c r="N23" s="1084">
        <f>IF(ISNUMBER(E23),ROUND(E23,0),"")</f>
      </c>
    </row>
    <row r="24" spans="1:9" s="1063" customFormat="1" ht="3.75" customHeight="1">
      <c r="A24" s="1080"/>
      <c r="B24" s="1075"/>
      <c r="C24" s="1066"/>
      <c r="D24" s="1066"/>
      <c r="E24" s="1068"/>
      <c r="F24" s="1077"/>
      <c r="H24" s="1064"/>
      <c r="I24" s="1065"/>
    </row>
    <row r="25" spans="1:9" s="1063" customFormat="1" ht="30" customHeight="1">
      <c r="A25" s="1058" t="s">
        <v>713</v>
      </c>
      <c r="B25" s="1058"/>
      <c r="C25" s="1060" t="s">
        <v>849</v>
      </c>
      <c r="D25" s="1058"/>
      <c r="E25" s="1061"/>
      <c r="F25" s="1077"/>
      <c r="H25" s="1064"/>
      <c r="I25" s="1065"/>
    </row>
    <row r="26" spans="1:9" s="1063" customFormat="1" ht="3.75" customHeight="1">
      <c r="A26" s="1066"/>
      <c r="B26" s="1075"/>
      <c r="C26" s="1066"/>
      <c r="D26" s="1066"/>
      <c r="E26" s="1068"/>
      <c r="F26" s="1077"/>
      <c r="H26" s="1064"/>
      <c r="I26" s="1065"/>
    </row>
    <row r="27" spans="1:14" s="1082" customFormat="1" ht="30" customHeight="1">
      <c r="A27" s="1250" t="s">
        <v>867</v>
      </c>
      <c r="B27" s="1251" t="s">
        <v>711</v>
      </c>
      <c r="C27" s="1252" t="s">
        <v>868</v>
      </c>
      <c r="D27" s="1246"/>
      <c r="E27" s="1256"/>
      <c r="F27" s="1168">
        <f>IF(ISBLANK(E27),"",IF(ISNUMBER(E27),IF(E27-INT(E27)=0,"","  Errore ! Inserire un numero intero senza decimali"),"  Errore ! Inserire un numero intero senza decimali"))</f>
      </c>
      <c r="K27" s="1083" t="str">
        <f>LEFT(A27,3)</f>
        <v>LEG</v>
      </c>
      <c r="L27" s="1083" t="str">
        <f>RIGHT(A27,3)</f>
        <v>357</v>
      </c>
      <c r="M27" s="1083" t="str">
        <f>B27</f>
        <v>INT</v>
      </c>
      <c r="N27" s="1084">
        <f>IF(ISNUMBER(E27),ROUND(E27,0),"")</f>
      </c>
    </row>
    <row r="28" spans="1:6" s="1082" customFormat="1" ht="3.75" customHeight="1">
      <c r="A28" s="1243"/>
      <c r="B28" s="1243"/>
      <c r="C28" s="1248"/>
      <c r="D28" s="1248"/>
      <c r="E28" s="1249"/>
      <c r="F28" s="1169"/>
    </row>
    <row r="29" spans="1:14" s="1082" customFormat="1" ht="30" customHeight="1">
      <c r="A29" s="1127" t="s">
        <v>869</v>
      </c>
      <c r="B29" s="1257" t="s">
        <v>711</v>
      </c>
      <c r="C29" s="1122" t="s">
        <v>870</v>
      </c>
      <c r="D29" s="1258"/>
      <c r="E29" s="1259"/>
      <c r="F29" s="1168">
        <f>IF(ISBLANK(E29),"",IF(ISNUMBER(E29),IF(E29-INT(E29)=0,"","  Errore ! Inserire un numero intero senza decimali"),"  Errore ! Inserire un numero intero senza decimali"))</f>
      </c>
      <c r="K29" s="1083" t="str">
        <f>LEFT(A29,3)</f>
        <v>LEG</v>
      </c>
      <c r="L29" s="1083" t="str">
        <f>RIGHT(A29,3)</f>
        <v>361</v>
      </c>
      <c r="M29" s="1083" t="str">
        <f>B29</f>
        <v>INT</v>
      </c>
      <c r="N29" s="1084">
        <f>IF(ISNUMBER(E29),ROUND(E29,0),"")</f>
      </c>
    </row>
    <row r="30" spans="1:6" s="1246" customFormat="1" ht="3.75" customHeight="1">
      <c r="A30" s="1243"/>
      <c r="B30" s="1243"/>
      <c r="C30" s="1248"/>
      <c r="D30" s="1248"/>
      <c r="E30" s="1249"/>
      <c r="F30" s="1169"/>
    </row>
    <row r="31" spans="1:14" s="1246" customFormat="1" ht="30" customHeight="1">
      <c r="A31" s="1243" t="s">
        <v>714</v>
      </c>
      <c r="B31" s="1244" t="s">
        <v>711</v>
      </c>
      <c r="C31" s="1260" t="s">
        <v>875</v>
      </c>
      <c r="E31" s="1256"/>
      <c r="F31" s="1168">
        <f>IF(ISBLANK(E31),"",IF(ISNUMBER(E31),IF(E31-INT(E31)=0,"","  Errore ! Inserire un numero intero senza decimali"),"  Errore ! Inserire un numero intero senza decimali"))</f>
      </c>
      <c r="G31" s="1082"/>
      <c r="H31" s="1082"/>
      <c r="I31" s="1082"/>
      <c r="J31" s="1082"/>
      <c r="K31" s="1263" t="str">
        <f>LEFT(A31,3)</f>
        <v>LEG</v>
      </c>
      <c r="L31" s="1263" t="str">
        <f>RIGHT(A31,3)</f>
        <v>263</v>
      </c>
      <c r="M31" s="1263" t="str">
        <f>B31</f>
        <v>INT</v>
      </c>
      <c r="N31" s="1264">
        <f>IF(ISNUMBER(E31),ROUND(E31,0),"")</f>
      </c>
    </row>
    <row r="32" spans="1:6" s="1063" customFormat="1" ht="3.75" customHeight="1">
      <c r="A32" s="1069"/>
      <c r="B32" s="1069"/>
      <c r="C32" s="1087"/>
      <c r="D32" s="1066"/>
      <c r="E32" s="1076"/>
      <c r="F32" s="1077"/>
    </row>
    <row r="33" spans="1:9" s="1063" customFormat="1" ht="30" customHeight="1">
      <c r="A33" s="1058" t="s">
        <v>715</v>
      </c>
      <c r="B33" s="1058"/>
      <c r="C33" s="1060" t="s">
        <v>716</v>
      </c>
      <c r="D33" s="1058"/>
      <c r="E33" s="1061"/>
      <c r="F33" s="1077"/>
      <c r="H33" s="1064"/>
      <c r="I33" s="1065"/>
    </row>
    <row r="34" spans="1:9" s="1063" customFormat="1" ht="3.75" customHeight="1">
      <c r="A34" s="1066"/>
      <c r="B34" s="1075"/>
      <c r="C34" s="1066"/>
      <c r="D34" s="1066"/>
      <c r="E34" s="1068"/>
      <c r="F34" s="1077"/>
      <c r="H34" s="1064"/>
      <c r="I34" s="1065"/>
    </row>
    <row r="35" spans="1:14" s="1246" customFormat="1" ht="30" customHeight="1">
      <c r="A35" s="1262" t="s">
        <v>717</v>
      </c>
      <c r="B35" s="1244" t="s">
        <v>711</v>
      </c>
      <c r="C35" s="1245" t="s">
        <v>718</v>
      </c>
      <c r="E35" s="1256"/>
      <c r="F35" s="1168">
        <f>IF(ISBLANK(E35),"",IF(ISNUMBER(E35),IF(E35-INT(E35)=0,"","  Errore ! Inserire un numero intero senza decimali"),"  Errore ! Inserire un numero intero senza decimali"))</f>
      </c>
      <c r="K35" s="1263" t="str">
        <f>LEFT(A35,3)</f>
        <v>ORG</v>
      </c>
      <c r="L35" s="1263" t="str">
        <f>RIGHT(A35,3)</f>
        <v>189</v>
      </c>
      <c r="M35" s="1263" t="str">
        <f>B35</f>
        <v>INT</v>
      </c>
      <c r="N35" s="1264">
        <f>IF(ISNUMBER(E35),ROUND(E35,0),"")</f>
      </c>
    </row>
    <row r="36" spans="1:6" s="1246" customFormat="1" ht="3.75" customHeight="1">
      <c r="A36" s="1265"/>
      <c r="B36" s="1265"/>
      <c r="C36" s="1248"/>
      <c r="D36" s="1248"/>
      <c r="E36" s="1255"/>
      <c r="F36" s="1169"/>
    </row>
    <row r="37" spans="1:14" s="1246" customFormat="1" ht="30" customHeight="1">
      <c r="A37" s="1262" t="s">
        <v>719</v>
      </c>
      <c r="B37" s="1244" t="s">
        <v>711</v>
      </c>
      <c r="C37" s="1245" t="s">
        <v>720</v>
      </c>
      <c r="E37" s="1256"/>
      <c r="F37" s="1168">
        <f>IF(ISBLANK(E37),"",IF(ISNUMBER(E37),IF(E37-INT(E37)=0,"","  Errore ! Inserire un numero intero senza decimali"),"  Errore ! Inserire un numero intero senza decimali"))</f>
      </c>
      <c r="K37" s="1263" t="str">
        <f>LEFT(A37,3)</f>
        <v>ORG</v>
      </c>
      <c r="L37" s="1263" t="str">
        <f>RIGHT(A37,3)</f>
        <v>268</v>
      </c>
      <c r="M37" s="1263" t="str">
        <f>B37</f>
        <v>INT</v>
      </c>
      <c r="N37" s="1264">
        <f>IF(ISNUMBER(E37),ROUND(E37,0),"")</f>
      </c>
    </row>
    <row r="38" spans="1:6" s="1246" customFormat="1" ht="3.75" customHeight="1">
      <c r="A38" s="1265"/>
      <c r="B38" s="1265"/>
      <c r="C38" s="1248"/>
      <c r="D38" s="1248"/>
      <c r="E38" s="1255"/>
      <c r="F38" s="1169"/>
    </row>
    <row r="39" spans="1:14" s="1246" customFormat="1" ht="30" customHeight="1">
      <c r="A39" s="1262" t="s">
        <v>721</v>
      </c>
      <c r="B39" s="1244" t="s">
        <v>711</v>
      </c>
      <c r="C39" s="1245" t="s">
        <v>722</v>
      </c>
      <c r="E39" s="1256"/>
      <c r="F39" s="1168">
        <f>IF(ISBLANK(E39),"",IF(ISNUMBER(E39),IF(E39-INT(E39)=0,"","  Errore ! Inserire un numero intero senza decimali"),"  Errore ! Inserire un numero intero senza decimali"))</f>
      </c>
      <c r="K39" s="1263" t="str">
        <f>LEFT(A39,3)</f>
        <v>ORG</v>
      </c>
      <c r="L39" s="1263" t="str">
        <f>RIGHT(A39,3)</f>
        <v>269</v>
      </c>
      <c r="M39" s="1263" t="str">
        <f>B39</f>
        <v>INT</v>
      </c>
      <c r="N39" s="1264">
        <f>IF(ISNUMBER(E39),ROUND(E39,0),"")</f>
      </c>
    </row>
    <row r="40" spans="1:9" s="1246" customFormat="1" ht="3.75" customHeight="1">
      <c r="A40" s="1262"/>
      <c r="B40" s="1262"/>
      <c r="C40" s="1248"/>
      <c r="D40" s="1248"/>
      <c r="E40" s="1255"/>
      <c r="F40" s="1266"/>
      <c r="H40" s="1267"/>
      <c r="I40" s="1268"/>
    </row>
    <row r="41" spans="1:14" s="1246" customFormat="1" ht="30" customHeight="1">
      <c r="A41" s="1262" t="s">
        <v>723</v>
      </c>
      <c r="B41" s="1244" t="s">
        <v>711</v>
      </c>
      <c r="C41" s="1245" t="s">
        <v>724</v>
      </c>
      <c r="E41" s="1256"/>
      <c r="F41" s="1168">
        <f>IF(ISBLANK(E41),"",IF(ISNUMBER(E41),IF(E41-INT(E41)=0,"","  Errore ! Inserire un numero intero senza decimali"),"  Errore ! Inserire un numero intero senza decimali"))</f>
      </c>
      <c r="K41" s="1263" t="str">
        <f>LEFT(A41,3)</f>
        <v>ORG</v>
      </c>
      <c r="L41" s="1263" t="str">
        <f>RIGHT(A41,3)</f>
        <v>270</v>
      </c>
      <c r="M41" s="1263" t="str">
        <f>B41</f>
        <v>INT</v>
      </c>
      <c r="N41" s="1264">
        <f>IF(ISNUMBER(E41),ROUND(E41,0),"")</f>
      </c>
    </row>
    <row r="42" spans="1:9" s="1246" customFormat="1" ht="3.75" customHeight="1">
      <c r="A42" s="1262"/>
      <c r="B42" s="1262"/>
      <c r="C42" s="1248"/>
      <c r="D42" s="1248"/>
      <c r="E42" s="1255"/>
      <c r="F42" s="1266"/>
      <c r="H42" s="1267"/>
      <c r="I42" s="1268"/>
    </row>
    <row r="43" spans="1:14" s="1246" customFormat="1" ht="30" customHeight="1">
      <c r="A43" s="1262" t="s">
        <v>725</v>
      </c>
      <c r="B43" s="1244" t="s">
        <v>711</v>
      </c>
      <c r="C43" s="1245" t="s">
        <v>876</v>
      </c>
      <c r="E43" s="1256"/>
      <c r="F43" s="1168">
        <f>IF(ISBLANK(E43),"",IF(ISNUMBER(E43),IF(E43-INT(E43)=0,"","  Errore ! Inserire un numero intero senza decimali"),"  Errore ! Inserire un numero intero senza decimali"))</f>
      </c>
      <c r="K43" s="1263" t="str">
        <f>LEFT(A43,3)</f>
        <v>ORG</v>
      </c>
      <c r="L43" s="1263" t="str">
        <f>RIGHT(A43,3)</f>
        <v>136</v>
      </c>
      <c r="M43" s="1263" t="str">
        <f>B43</f>
        <v>INT</v>
      </c>
      <c r="N43" s="1264">
        <f>IF(ISNUMBER(E43),ROUND(E43,0),"")</f>
      </c>
    </row>
    <row r="44" spans="1:9" s="1246" customFormat="1" ht="3.75" customHeight="1">
      <c r="A44" s="1262"/>
      <c r="B44" s="1262"/>
      <c r="C44" s="1248"/>
      <c r="D44" s="1248"/>
      <c r="E44" s="1255"/>
      <c r="F44" s="1266"/>
      <c r="H44" s="1267"/>
      <c r="I44" s="1268"/>
    </row>
    <row r="45" spans="1:14" s="1246" customFormat="1" ht="30" customHeight="1">
      <c r="A45" s="1262" t="s">
        <v>726</v>
      </c>
      <c r="B45" s="1244" t="s">
        <v>711</v>
      </c>
      <c r="C45" s="1245" t="s">
        <v>877</v>
      </c>
      <c r="E45" s="1256"/>
      <c r="F45" s="1168">
        <f>IF(ISBLANK(E45),"",IF(ISNUMBER(E45),IF(E45-INT(E45)=0,"","  Errore ! Inserire un numero intero senza decimali"),"  Errore ! Inserire un numero intero senza decimali"))</f>
      </c>
      <c r="K45" s="1263" t="str">
        <f>LEFT(A45,3)</f>
        <v>ORG</v>
      </c>
      <c r="L45" s="1263" t="str">
        <f>RIGHT(A45,3)</f>
        <v>179</v>
      </c>
      <c r="M45" s="1263" t="str">
        <f>B45</f>
        <v>INT</v>
      </c>
      <c r="N45" s="1264">
        <f>IF(ISNUMBER(E45),ROUND(E45,0),"")</f>
      </c>
    </row>
    <row r="46" spans="1:9" s="1246" customFormat="1" ht="3.75" customHeight="1">
      <c r="A46" s="1262"/>
      <c r="B46" s="1262"/>
      <c r="C46" s="1248"/>
      <c r="D46" s="1248"/>
      <c r="E46" s="1255"/>
      <c r="F46" s="1266"/>
      <c r="H46" s="1267"/>
      <c r="I46" s="1268"/>
    </row>
    <row r="47" spans="1:14" s="1246" customFormat="1" ht="30" customHeight="1">
      <c r="A47" s="1262" t="s">
        <v>727</v>
      </c>
      <c r="B47" s="1244" t="s">
        <v>711</v>
      </c>
      <c r="C47" s="1245" t="s">
        <v>878</v>
      </c>
      <c r="E47" s="1256"/>
      <c r="F47" s="1168">
        <f>IF(ISBLANK(E47),"",IF(ISNUMBER(E47),IF(E47-INT(E47)=0,"","  Errore ! Inserire un numero intero senza decimali"),"  Errore ! Inserire un numero intero senza decimali"))</f>
      </c>
      <c r="K47" s="1263" t="str">
        <f>LEFT(A47,3)</f>
        <v>ORG</v>
      </c>
      <c r="L47" s="1263" t="str">
        <f>RIGHT(A47,3)</f>
        <v>161</v>
      </c>
      <c r="M47" s="1263" t="str">
        <f>B47</f>
        <v>INT</v>
      </c>
      <c r="N47" s="1264">
        <f>IF(ISNUMBER(E47),ROUND(E47,0),"")</f>
      </c>
    </row>
    <row r="48" spans="1:9" s="1246" customFormat="1" ht="3.75" customHeight="1">
      <c r="A48" s="1262"/>
      <c r="B48" s="1262"/>
      <c r="C48" s="1248"/>
      <c r="D48" s="1248"/>
      <c r="E48" s="1255"/>
      <c r="F48" s="1266"/>
      <c r="H48" s="1267"/>
      <c r="I48" s="1268"/>
    </row>
    <row r="49" spans="1:14" s="1246" customFormat="1" ht="30" customHeight="1">
      <c r="A49" s="1262" t="s">
        <v>728</v>
      </c>
      <c r="B49" s="1244" t="s">
        <v>711</v>
      </c>
      <c r="C49" s="1245" t="s">
        <v>729</v>
      </c>
      <c r="E49" s="1256"/>
      <c r="F49" s="1168">
        <f>IF(ISBLANK(E49),"",IF(ISNUMBER(E49),IF(E49-INT(E49)=0,"","  Errore ! Inserire un numero intero senza decimali"),"  Errore ! Inserire un numero intero senza decimali"))</f>
      </c>
      <c r="K49" s="1263" t="str">
        <f>LEFT(A49,3)</f>
        <v>ORG</v>
      </c>
      <c r="L49" s="1263" t="str">
        <f>RIGHT(A49,3)</f>
        <v>271</v>
      </c>
      <c r="M49" s="1263" t="str">
        <f>B49</f>
        <v>INT</v>
      </c>
      <c r="N49" s="1264">
        <f>IF(ISNUMBER(E49),ROUND(E49,0),"")</f>
      </c>
    </row>
    <row r="50" spans="1:9" s="1246" customFormat="1" ht="3.75" customHeight="1">
      <c r="A50" s="1262"/>
      <c r="B50" s="1262"/>
      <c r="C50" s="1248"/>
      <c r="D50" s="1248"/>
      <c r="E50" s="1255"/>
      <c r="F50" s="1266"/>
      <c r="H50" s="1267"/>
      <c r="I50" s="1268"/>
    </row>
    <row r="51" spans="1:14" s="1246" customFormat="1" ht="30" customHeight="1">
      <c r="A51" s="1262" t="s">
        <v>730</v>
      </c>
      <c r="B51" s="1244" t="s">
        <v>711</v>
      </c>
      <c r="C51" s="1245" t="s">
        <v>893</v>
      </c>
      <c r="E51" s="1256"/>
      <c r="F51" s="1168">
        <f>IF(ISBLANK(E51),"",IF(ISNUMBER(E51),IF(E51-INT(E51)=0,"","  Errore ! Inserire un numero intero senza decimali"),"  Errore ! Inserire un numero intero senza decimali"))</f>
      </c>
      <c r="K51" s="1263" t="str">
        <f>LEFT(A51,3)</f>
        <v>ORG</v>
      </c>
      <c r="L51" s="1263" t="str">
        <f>RIGHT(A51,3)</f>
        <v>272</v>
      </c>
      <c r="M51" s="1263" t="str">
        <f>B51</f>
        <v>INT</v>
      </c>
      <c r="N51" s="1264">
        <f>IF(ISNUMBER(E51),ROUND(E51,0),"")</f>
      </c>
    </row>
    <row r="52" spans="1:9" s="1063" customFormat="1" ht="3.75" customHeight="1">
      <c r="A52" s="1069"/>
      <c r="B52" s="1075"/>
      <c r="C52" s="1066"/>
      <c r="D52" s="1066"/>
      <c r="E52" s="1068"/>
      <c r="F52" s="1077"/>
      <c r="H52" s="1064"/>
      <c r="I52" s="1065"/>
    </row>
    <row r="53" spans="1:9" s="1063" customFormat="1" ht="30" customHeight="1">
      <c r="A53" s="1058" t="s">
        <v>731</v>
      </c>
      <c r="B53" s="1058"/>
      <c r="C53" s="1060" t="s">
        <v>882</v>
      </c>
      <c r="D53" s="1058"/>
      <c r="E53" s="1061"/>
      <c r="F53" s="1077"/>
      <c r="H53" s="1064"/>
      <c r="I53" s="1065"/>
    </row>
    <row r="54" spans="1:9" s="1063" customFormat="1" ht="3.75" customHeight="1">
      <c r="A54" s="1066"/>
      <c r="B54" s="1075"/>
      <c r="C54" s="1066"/>
      <c r="D54" s="1066"/>
      <c r="E54" s="1068"/>
      <c r="F54" s="1077"/>
      <c r="H54" s="1064"/>
      <c r="I54" s="1065"/>
    </row>
    <row r="55" spans="1:14" s="1063" customFormat="1" ht="30" customHeight="1">
      <c r="A55" s="1069" t="s">
        <v>732</v>
      </c>
      <c r="B55" s="1088" t="s">
        <v>711</v>
      </c>
      <c r="C55" s="1062" t="s">
        <v>648</v>
      </c>
      <c r="E55" s="1079"/>
      <c r="F55" s="1072">
        <f>IF(ISBLANK(E55),"",IF(ISNUMBER(E55),IF(E55-INT(E55)=0,"","  Errore ! Inserire un numero intero senza decimali"),"  Errore ! Inserire un numero intero senza decimali"))</f>
      </c>
      <c r="K55" s="1073" t="str">
        <f>LEFT(A55,3)</f>
        <v>PRD</v>
      </c>
      <c r="L55" s="1073" t="str">
        <f>RIGHT(A55,3)</f>
        <v>137</v>
      </c>
      <c r="M55" s="1073" t="str">
        <f>B55</f>
        <v>INT</v>
      </c>
      <c r="N55" s="1074">
        <f>IF(ISNUMBER(E55),ROUND(E55,0),"")</f>
      </c>
    </row>
    <row r="56" spans="1:9" s="1063" customFormat="1" ht="3.75" customHeight="1">
      <c r="A56" s="1069"/>
      <c r="B56" s="1075"/>
      <c r="C56" s="1066"/>
      <c r="D56" s="1066"/>
      <c r="E56" s="1076"/>
      <c r="F56" s="1077"/>
      <c r="H56" s="1064"/>
      <c r="I56" s="1065"/>
    </row>
    <row r="57" spans="1:14" s="1063" customFormat="1" ht="30" customHeight="1">
      <c r="A57" s="1069" t="s">
        <v>733</v>
      </c>
      <c r="B57" s="1088" t="s">
        <v>711</v>
      </c>
      <c r="C57" s="1062" t="s">
        <v>734</v>
      </c>
      <c r="E57" s="1079"/>
      <c r="F57" s="1072">
        <f>IF(ISBLANK(E57),"",IF(ISNUMBER(E57),IF(E57-INT(E57)=0,"","  Errore ! Inserire un numero intero senza decimali"),"  Errore ! Inserire un numero intero senza decimali"))</f>
      </c>
      <c r="K57" s="1073" t="str">
        <f>LEFT(A57,3)</f>
        <v>PRD</v>
      </c>
      <c r="L57" s="1073" t="str">
        <f>RIGHT(A57,3)</f>
        <v>115</v>
      </c>
      <c r="M57" s="1073" t="str">
        <f>B57</f>
        <v>INT</v>
      </c>
      <c r="N57" s="1074">
        <f>IF(ISNUMBER(E57),ROUND(E57,0),"")</f>
      </c>
    </row>
    <row r="58" spans="1:9" s="1063" customFormat="1" ht="3.75" customHeight="1">
      <c r="A58" s="1069"/>
      <c r="B58" s="1075"/>
      <c r="C58" s="1066"/>
      <c r="D58" s="1066"/>
      <c r="E58" s="1076"/>
      <c r="F58" s="1077"/>
      <c r="H58" s="1064"/>
      <c r="I58" s="1065"/>
    </row>
    <row r="59" spans="1:14" s="1063" customFormat="1" ht="30" customHeight="1">
      <c r="A59" s="1085" t="s">
        <v>735</v>
      </c>
      <c r="B59" s="1088" t="s">
        <v>705</v>
      </c>
      <c r="C59" s="1062" t="s">
        <v>736</v>
      </c>
      <c r="E59" s="1071"/>
      <c r="F59" s="1072">
        <f>IF(AND(LEN(E59)=1,OR(UPPER(E59)="N",UPPER(E59)="S")),"",IF(ISBLANK(E59),"","  Errore ! Inserire S o N"))</f>
      </c>
      <c r="K59" s="1073" t="str">
        <f>LEFT(A59,3)</f>
        <v>PRD</v>
      </c>
      <c r="L59" s="1073" t="str">
        <f>RIGHT(A59,3)</f>
        <v>159</v>
      </c>
      <c r="M59" s="1073" t="str">
        <f>B59</f>
        <v>FLAG</v>
      </c>
      <c r="N59" s="1074">
        <f>IF(AND(LEN(E59)=1,OR(UPPER(E59)="N",UPPER(E59)="S")),UPPER(E59),"")</f>
      </c>
    </row>
    <row r="60" spans="1:9" s="1063" customFormat="1" ht="3.75" customHeight="1">
      <c r="A60" s="1085"/>
      <c r="B60" s="1075"/>
      <c r="C60" s="1066"/>
      <c r="D60" s="1066"/>
      <c r="E60" s="1076"/>
      <c r="F60" s="1077"/>
      <c r="H60" s="1064"/>
      <c r="I60" s="1065"/>
    </row>
    <row r="61" spans="1:14" s="1063" customFormat="1" ht="30" customHeight="1">
      <c r="A61" s="1085" t="s">
        <v>737</v>
      </c>
      <c r="B61" s="1088" t="s">
        <v>705</v>
      </c>
      <c r="C61" s="1086" t="s">
        <v>738</v>
      </c>
      <c r="E61" s="1071"/>
      <c r="F61" s="1072">
        <f>IF(AND(LEN(E61)=1,OR(UPPER(E61)="N",UPPER(E61)="S")),"",IF(ISBLANK(E61),"","  Errore ! Inserire S o N"))</f>
      </c>
      <c r="K61" s="1073" t="str">
        <f>LEFT(A61,3)</f>
        <v>PRD</v>
      </c>
      <c r="L61" s="1073" t="str">
        <f>RIGHT(A61,3)</f>
        <v>273</v>
      </c>
      <c r="M61" s="1073" t="str">
        <f>B61</f>
        <v>FLAG</v>
      </c>
      <c r="N61" s="1074">
        <f>IF(AND(LEN(E61)=1,OR(UPPER(E61)="N",UPPER(E61)="S")),UPPER(E61),"")</f>
      </c>
    </row>
    <row r="62" spans="1:9" s="1063" customFormat="1" ht="3.75" customHeight="1">
      <c r="A62" s="1089"/>
      <c r="B62" s="1075"/>
      <c r="C62" s="1066"/>
      <c r="D62" s="1066"/>
      <c r="E62" s="1076"/>
      <c r="F62" s="1077"/>
      <c r="H62" s="1064"/>
      <c r="I62" s="1065"/>
    </row>
    <row r="63" spans="1:14" s="1063" customFormat="1" ht="30" customHeight="1">
      <c r="A63" s="1085" t="s">
        <v>739</v>
      </c>
      <c r="B63" s="1088" t="s">
        <v>705</v>
      </c>
      <c r="C63" s="1086" t="s">
        <v>740</v>
      </c>
      <c r="E63" s="1071"/>
      <c r="F63" s="1072">
        <f>IF(AND(LEN(E63)=1,OR(UPPER(E63)="N",UPPER(E63)="S")),"",IF(ISBLANK(E63),"","  Errore ! Inserire S o N"))</f>
      </c>
      <c r="K63" s="1073" t="str">
        <f>LEFT(A63,3)</f>
        <v>PRD</v>
      </c>
      <c r="L63" s="1073" t="str">
        <f>RIGHT(A63,3)</f>
        <v>274</v>
      </c>
      <c r="M63" s="1073" t="str">
        <f>B63</f>
        <v>FLAG</v>
      </c>
      <c r="N63" s="1074">
        <f>IF(AND(LEN(E63)=1,OR(UPPER(E63)="N",UPPER(E63)="S")),UPPER(E63),"")</f>
      </c>
    </row>
    <row r="64" spans="1:9" s="1246" customFormat="1" ht="3.75" customHeight="1">
      <c r="A64" s="1269"/>
      <c r="B64" s="1269"/>
      <c r="C64" s="1248"/>
      <c r="D64" s="1248"/>
      <c r="E64" s="1255"/>
      <c r="F64" s="1266"/>
      <c r="H64" s="1267"/>
      <c r="I64" s="1268"/>
    </row>
    <row r="65" spans="1:9" s="1063" customFormat="1" ht="30" customHeight="1">
      <c r="A65" s="1058" t="s">
        <v>741</v>
      </c>
      <c r="B65" s="1058"/>
      <c r="C65" s="1060" t="s">
        <v>742</v>
      </c>
      <c r="D65" s="1058"/>
      <c r="E65" s="1061"/>
      <c r="F65" s="1062"/>
      <c r="H65" s="1064"/>
      <c r="I65" s="1065"/>
    </row>
    <row r="66" spans="1:9" s="1063" customFormat="1" ht="3.75" customHeight="1">
      <c r="A66" s="1090"/>
      <c r="B66" s="1075"/>
      <c r="C66" s="1066"/>
      <c r="D66" s="1066"/>
      <c r="E66" s="1068"/>
      <c r="F66" s="1062"/>
      <c r="H66" s="1064"/>
      <c r="I66" s="1065"/>
    </row>
    <row r="67" spans="1:14" s="1063" customFormat="1" ht="15">
      <c r="A67" s="1069" t="s">
        <v>743</v>
      </c>
      <c r="B67" s="1070" t="s">
        <v>431</v>
      </c>
      <c r="C67" s="1066" t="s">
        <v>744</v>
      </c>
      <c r="E67" s="1068"/>
      <c r="F67" s="1062"/>
      <c r="K67" s="1073" t="str">
        <f>LEFT(A67,3)</f>
        <v>INF</v>
      </c>
      <c r="L67" s="1073" t="str">
        <f>RIGHT(A67,3)</f>
        <v>209</v>
      </c>
      <c r="M67" s="1073" t="str">
        <f>B67</f>
        <v>NOTE</v>
      </c>
      <c r="N67" s="1063">
        <f>IF(ISBLANK(C68),"",LEFT(C68,1500))</f>
      </c>
    </row>
    <row r="68" spans="1:8" s="1063" customFormat="1" ht="45" customHeight="1">
      <c r="A68" s="1091"/>
      <c r="B68" s="1092"/>
      <c r="C68" s="1424"/>
      <c r="D68" s="1425"/>
      <c r="E68" s="1426"/>
      <c r="F68" s="1093">
        <f>IF(LEN(C68)&gt;1500,"Attenzione, è stato superato il numero massimo di 1500 caratteri","")</f>
      </c>
      <c r="H68" s="1064"/>
    </row>
    <row r="69" spans="1:9" s="1063" customFormat="1" ht="15">
      <c r="A69" s="1094"/>
      <c r="B69" s="1070"/>
      <c r="C69" s="1066"/>
      <c r="D69" s="1066"/>
      <c r="E69" s="1095"/>
      <c r="F69" s="1062"/>
      <c r="H69" s="1064"/>
      <c r="I69" s="1096"/>
    </row>
    <row r="70" spans="1:14" s="1063" customFormat="1" ht="15">
      <c r="A70" s="1069" t="s">
        <v>745</v>
      </c>
      <c r="B70" s="1070" t="s">
        <v>431</v>
      </c>
      <c r="C70" s="1066" t="s">
        <v>746</v>
      </c>
      <c r="E70" s="1068"/>
      <c r="F70" s="1062"/>
      <c r="K70" s="1073" t="str">
        <f>LEFT(A70,3)</f>
        <v>INF</v>
      </c>
      <c r="L70" s="1073" t="str">
        <f>RIGHT(A70,3)</f>
        <v>127</v>
      </c>
      <c r="M70" s="1073" t="str">
        <f>B70</f>
        <v>NOTE</v>
      </c>
      <c r="N70" s="1063">
        <f>IF(ISBLANK(C71),"",LEFT(C71,1500))</f>
      </c>
    </row>
    <row r="71" spans="1:11" s="1063" customFormat="1" ht="45" customHeight="1">
      <c r="A71" s="1091"/>
      <c r="B71" s="1097"/>
      <c r="C71" s="1424"/>
      <c r="D71" s="1425"/>
      <c r="E71" s="1426"/>
      <c r="F71" s="1093">
        <f>IF(LEN(C71)&gt;1500,"Attenzione, è stato superato il numero massimo di 1500 caratteri","")</f>
      </c>
      <c r="H71" s="1064"/>
      <c r="K71" s="1098" t="s">
        <v>586</v>
      </c>
    </row>
  </sheetData>
  <sheetProtection password="EA98" sheet="1" selectLockedCells="1"/>
  <mergeCells count="5">
    <mergeCell ref="F2:F3"/>
    <mergeCell ref="F4:F5"/>
    <mergeCell ref="F6:F9"/>
    <mergeCell ref="C68:E68"/>
    <mergeCell ref="C71:E71"/>
  </mergeCells>
  <dataValidations count="4">
    <dataValidation type="list" allowBlank="1" showDropDown="1" showInputMessage="1" showErrorMessage="1" errorTitle="Errore di digitazione" error="Digitare 'S' o 'N' o lasciare in bianco" sqref="E15 E59 E61 E13 E63">
      <formula1>"s,n,S,N"</formula1>
    </dataValidation>
    <dataValidation type="whole" operator="lessThan" allowBlank="1" showInputMessage="1" showErrorMessage="1" errorTitle="Errore di digitazione" error="Inserire solo numeri interi o lasciare vuoto." sqref="E57 E55 E23 E29 E31 E27 E51 E45 E49 E35 E37 E39 E47 E41 E43">
      <formula1>100000000000000</formula1>
    </dataValidation>
    <dataValidation type="textLength" allowBlank="1" showInputMessage="1" showErrorMessage="1" errorTitle="Errore di digitazione" error="Inserire massimo 1500 caratteri" sqref="C68:E68 C71:E71">
      <formula1>0</formula1>
      <formula2>1500</formula2>
    </dataValidation>
    <dataValidation type="date" allowBlank="1" showInputMessage="1" showErrorMessage="1" errorTitle="Errore di digitazione" error="Digitare una data non anteriore al 1 Gennaio dell'anno precedente alla di rilevazione (gg/mm/aaaa)" sqref="E17 E19 E21">
      <formula1>42736</formula1>
      <formula2>TODAY()</formula2>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portrait" paperSize="9" scale="53" r:id="rId1"/>
</worksheet>
</file>

<file path=xl/worksheets/sheet22.xml><?xml version="1.0" encoding="utf-8"?>
<worksheet xmlns="http://schemas.openxmlformats.org/spreadsheetml/2006/main" xmlns:r="http://schemas.openxmlformats.org/officeDocument/2006/relationships">
  <dimension ref="A1:N87"/>
  <sheetViews>
    <sheetView showGridLines="0" zoomScale="75" zoomScaleNormal="75" zoomScalePageLayoutView="0" workbookViewId="0" topLeftCell="A1">
      <selection activeCell="E13" sqref="E13"/>
    </sheetView>
  </sheetViews>
  <sheetFormatPr defaultColWidth="11.66015625" defaultRowHeight="10.5"/>
  <cols>
    <col min="1" max="2" width="10.33203125" style="1136" customWidth="1"/>
    <col min="3" max="3" width="184.5" style="1110" customWidth="1"/>
    <col min="4" max="4" width="3" style="1110" customWidth="1"/>
    <col min="5" max="5" width="18.5" style="1137" customWidth="1"/>
    <col min="6" max="6" width="52.33203125" style="1132" customWidth="1"/>
    <col min="7" max="10" width="11.66015625" style="1110" customWidth="1"/>
    <col min="11" max="14" width="13.33203125" style="1110" hidden="1" customWidth="1"/>
    <col min="15" max="16384" width="11.66015625" style="1110" customWidth="1"/>
  </cols>
  <sheetData>
    <row r="1" spans="1:8" s="939" customFormat="1" ht="45" customHeight="1" thickBot="1">
      <c r="A1" s="1020" t="s">
        <v>693</v>
      </c>
      <c r="B1" s="1020"/>
      <c r="C1" s="1022"/>
      <c r="D1" s="1022"/>
      <c r="E1" s="1023"/>
      <c r="F1" s="982" t="s">
        <v>694</v>
      </c>
      <c r="H1" s="1102" t="s">
        <v>290</v>
      </c>
    </row>
    <row r="2" spans="1:6" s="939" customFormat="1" ht="41.25" customHeight="1">
      <c r="A2" s="1026" t="s">
        <v>695</v>
      </c>
      <c r="B2" s="1026"/>
      <c r="C2" s="1028"/>
      <c r="D2" s="1029"/>
      <c r="E2" s="1030"/>
      <c r="F2" s="1412" t="str">
        <f>IF(AND(ISBLANK($E$23),OR(SUMIF('t1'!N:N,$H$1,'t1'!AI:AI)+SUMIF('t1'!$N:$N,$H$1,'t1'!AJ:AJ)&gt;0,SUMIF('t12'!$L:$L,$H$1,'t12'!AA:AA)&gt;0)),"Attenzione: è necessario compilare la domanda GEN195 !!!","OK")</f>
        <v>OK</v>
      </c>
    </row>
    <row r="3" spans="1:11" s="942" customFormat="1" ht="30" customHeight="1" thickBot="1">
      <c r="A3" s="951"/>
      <c r="B3" s="1103"/>
      <c r="C3" s="622"/>
      <c r="D3" s="940"/>
      <c r="E3" s="941"/>
      <c r="F3" s="1418"/>
      <c r="K3" s="1104"/>
    </row>
    <row r="4" spans="1:11" s="939" customFormat="1" ht="16.5" customHeight="1">
      <c r="A4" s="952"/>
      <c r="B4" s="952"/>
      <c r="C4" s="943"/>
      <c r="D4" s="943"/>
      <c r="E4" s="943"/>
      <c r="F4" s="1419" t="s">
        <v>696</v>
      </c>
      <c r="K4" s="1104"/>
    </row>
    <row r="5" spans="3:6" s="939" customFormat="1" ht="20.25" customHeight="1" thickBot="1">
      <c r="C5" s="944" t="s">
        <v>340</v>
      </c>
      <c r="F5" s="1427"/>
    </row>
    <row r="6" spans="1:6" s="946" customFormat="1" ht="21">
      <c r="A6" s="1038" t="str">
        <f>'t1'!$A$1</f>
        <v>CNEL - anno 2018</v>
      </c>
      <c r="B6" s="1038"/>
      <c r="C6" s="1040"/>
      <c r="D6" s="1041"/>
      <c r="E6" s="1041"/>
      <c r="F6" s="1421" t="str">
        <f>IF(AND(ISBLANK(E17),ISBLANK(E19),ISBLANK(E21)),"OK",IF(AND(OR(ISBLANK(E17),YEAR(E17)&gt;'t1'!L1-1),OR(ISBLANK(E19),YEAR(E19)&gt;'t1'!L1-1),OR(ISBLANK(E21),YEAR(E21)&gt;'t1'!L1-1)),"OK","Attenzione: almeno una data di certificazione è antececedente l'1 gennaio dell'anno di riferimento, è necessario giustificare"))</f>
        <v>OK</v>
      </c>
    </row>
    <row r="7" spans="1:6" s="946" customFormat="1" ht="11.25" customHeight="1">
      <c r="A7" s="953"/>
      <c r="B7" s="953"/>
      <c r="C7" s="945"/>
      <c r="D7" s="945"/>
      <c r="E7" s="948"/>
      <c r="F7" s="1422"/>
    </row>
    <row r="8" spans="1:14" s="946" customFormat="1" ht="30.75" customHeight="1">
      <c r="A8" s="949"/>
      <c r="B8" s="949"/>
      <c r="C8" s="1045" t="s">
        <v>747</v>
      </c>
      <c r="F8" s="1422"/>
      <c r="N8" s="1105" t="s">
        <v>698</v>
      </c>
    </row>
    <row r="9" spans="1:14" s="946" customFormat="1" ht="30.75" customHeight="1" thickBot="1">
      <c r="A9" s="949"/>
      <c r="B9" s="949"/>
      <c r="C9" s="945"/>
      <c r="D9" s="945"/>
      <c r="E9" s="950"/>
      <c r="F9" s="1423"/>
      <c r="N9" s="1049">
        <f>(COUNTIF(E:E,"&lt;&gt;"&amp;"")+COUNTIF(C84,"&lt;&gt;"&amp;"")+COUNTIF(C87,"&lt;&gt;"&amp;""))</f>
        <v>0</v>
      </c>
    </row>
    <row r="10" spans="1:6" ht="3.75" customHeight="1">
      <c r="A10" s="1106"/>
      <c r="B10" s="1106"/>
      <c r="C10" s="1107"/>
      <c r="D10" s="1106"/>
      <c r="E10" s="1108"/>
      <c r="F10" s="1109"/>
    </row>
    <row r="11" spans="1:14" s="1082" customFormat="1" ht="30" customHeight="1">
      <c r="A11" s="1058" t="s">
        <v>699</v>
      </c>
      <c r="B11" s="1058"/>
      <c r="C11" s="1060" t="s">
        <v>700</v>
      </c>
      <c r="D11" s="1058"/>
      <c r="E11" s="1061"/>
      <c r="F11" s="1111"/>
      <c r="K11" s="1105" t="s">
        <v>701</v>
      </c>
      <c r="L11" s="1105" t="s">
        <v>702</v>
      </c>
      <c r="M11" s="1105" t="s">
        <v>703</v>
      </c>
      <c r="N11" s="1105" t="s">
        <v>691</v>
      </c>
    </row>
    <row r="12" spans="1:14" s="1082" customFormat="1" ht="3.75" customHeight="1">
      <c r="A12" s="1112"/>
      <c r="B12" s="1112"/>
      <c r="C12" s="1112"/>
      <c r="D12" s="1112"/>
      <c r="E12" s="1113"/>
      <c r="F12" s="1111"/>
      <c r="K12" s="1114"/>
      <c r="L12" s="1114"/>
      <c r="M12" s="1114"/>
      <c r="N12" s="1114"/>
    </row>
    <row r="13" spans="1:14" s="1082" customFormat="1" ht="30" customHeight="1">
      <c r="A13" s="1243" t="s">
        <v>704</v>
      </c>
      <c r="B13" s="1244" t="s">
        <v>705</v>
      </c>
      <c r="C13" s="1245" t="s">
        <v>706</v>
      </c>
      <c r="D13" s="1246"/>
      <c r="E13" s="1247"/>
      <c r="F13" s="1168">
        <f>IF(AND(LEN(E13)=1,OR(UPPER(E13)="N",UPPER(E13)="S")),"",IF(ISBLANK(E13),"","  Errore ! Inserire S o N"))</f>
      </c>
      <c r="K13" s="1083" t="str">
        <f>LEFT(A13,3)</f>
        <v>GEN</v>
      </c>
      <c r="L13" s="1083" t="str">
        <f>RIGHT(A13,3)</f>
        <v>172</v>
      </c>
      <c r="M13" s="1083" t="str">
        <f>B13</f>
        <v>FLAG</v>
      </c>
      <c r="N13" s="1084">
        <f>IF(AND(LEN(E13)=1,OR(UPPER(E13)="N",UPPER(E13)="S")),UPPER(E13),"")</f>
      </c>
    </row>
    <row r="14" spans="1:6" s="1082" customFormat="1" ht="3.75" customHeight="1">
      <c r="A14" s="1243"/>
      <c r="B14" s="1243"/>
      <c r="C14" s="1248"/>
      <c r="D14" s="1248"/>
      <c r="E14" s="1249"/>
      <c r="F14" s="1168">
        <f>IF(AND(LEN(E14)=1,OR(UPPER(E14)="N",UPPER(E14)="S")),"",IF(ISBLANK(E14),"","  Errore ! Inserire S o N"))</f>
      </c>
    </row>
    <row r="15" spans="1:14" s="1082" customFormat="1" ht="30" customHeight="1">
      <c r="A15" s="1243" t="s">
        <v>707</v>
      </c>
      <c r="B15" s="1244" t="s">
        <v>705</v>
      </c>
      <c r="C15" s="1245" t="s">
        <v>708</v>
      </c>
      <c r="D15" s="1246"/>
      <c r="E15" s="1247"/>
      <c r="F15" s="1168">
        <f>IF(AND(LEN(E15)=1,OR(UPPER(E15)="N",UPPER(E15)="S")),"",IF(ISBLANK(E15),"","  Errore ! Inserire S o N"))</f>
      </c>
      <c r="K15" s="1083" t="str">
        <f>LEFT(A15,3)</f>
        <v>GEN</v>
      </c>
      <c r="L15" s="1083" t="str">
        <f>RIGHT(A15,3)</f>
        <v>207</v>
      </c>
      <c r="M15" s="1083" t="str">
        <f>B15</f>
        <v>FLAG</v>
      </c>
      <c r="N15" s="1084">
        <f>IF(AND(LEN(E15)=1,OR(UPPER(E15)="N",UPPER(E15)="S")),UPPER(E15),"")</f>
      </c>
    </row>
    <row r="16" spans="1:6" s="1082" customFormat="1" ht="3.75" customHeight="1">
      <c r="A16" s="1243"/>
      <c r="B16" s="1243"/>
      <c r="C16" s="1248"/>
      <c r="D16" s="1248"/>
      <c r="E16" s="1249"/>
      <c r="F16" s="1169"/>
    </row>
    <row r="17" spans="1:14" s="1082" customFormat="1" ht="30" customHeight="1">
      <c r="A17" s="1250" t="s">
        <v>789</v>
      </c>
      <c r="B17" s="1251" t="s">
        <v>709</v>
      </c>
      <c r="C17" s="1252" t="s">
        <v>790</v>
      </c>
      <c r="D17" s="1063"/>
      <c r="E17" s="1078"/>
      <c r="F17" s="1168">
        <f ca="1">IF(ISBLANK(E17),"",IF(AND(E17&gt;=DATE('t1'!$L$1-1,1,1),E17&lt;=TODAY()),"","Digitare una data non anteriore al 1 Gennaio "&amp;'t1'!$L$1-1&amp;" (gg/mm/aaaa)"))</f>
      </c>
      <c r="K17" s="1083" t="str">
        <f>LEFT(A17,3)</f>
        <v>GEN</v>
      </c>
      <c r="L17" s="1083" t="str">
        <f>RIGHT(A17,3)</f>
        <v>353</v>
      </c>
      <c r="M17" s="1083" t="str">
        <f>B17</f>
        <v>DATE</v>
      </c>
      <c r="N17" s="1253">
        <f ca="1">IF(AND(E17&gt;=DATE(2017,1,1),E17&lt;=TODAY()),"'"&amp;DAY(E17)&amp;"/"&amp;MONTH(E17)&amp;"/"&amp;YEAR(E17),"")</f>
      </c>
    </row>
    <row r="18" spans="1:6" s="1082" customFormat="1" ht="3.75" customHeight="1">
      <c r="A18" s="1243"/>
      <c r="B18" s="1243"/>
      <c r="C18" s="1248"/>
      <c r="D18" s="1248"/>
      <c r="E18" s="1249"/>
      <c r="F18" s="1169"/>
    </row>
    <row r="19" spans="1:14" s="1082" customFormat="1" ht="30" customHeight="1">
      <c r="A19" s="1250" t="s">
        <v>791</v>
      </c>
      <c r="B19" s="1251" t="s">
        <v>709</v>
      </c>
      <c r="C19" s="1252" t="s">
        <v>792</v>
      </c>
      <c r="D19" s="1063"/>
      <c r="E19" s="1078"/>
      <c r="F19" s="1168">
        <f ca="1">IF(ISBLANK(E19),"",IF(AND(E19&gt;=DATE('t1'!$L$1-1,1,1),E19&lt;=TODAY()),"","Digitare una data non anteriore al 1 Gennaio "&amp;'t1'!$L$1-1&amp;" (gg/mm/aaaa)"))</f>
      </c>
      <c r="K19" s="1083" t="str">
        <f>LEFT(A19,3)</f>
        <v>GEN</v>
      </c>
      <c r="L19" s="1083" t="str">
        <f>RIGHT(A19,3)</f>
        <v>354</v>
      </c>
      <c r="M19" s="1083" t="str">
        <f>B19</f>
        <v>DATE</v>
      </c>
      <c r="N19" s="1253">
        <f ca="1">IF(AND(E19&gt;=DATE(2017,1,1),E19&lt;=TODAY()),"'"&amp;DAY(E19)&amp;"/"&amp;MONTH(E19)&amp;"/"&amp;YEAR(E19),"")</f>
      </c>
    </row>
    <row r="20" spans="1:6" s="1082" customFormat="1" ht="3.75" customHeight="1">
      <c r="A20" s="1243"/>
      <c r="B20" s="1243"/>
      <c r="C20" s="1248"/>
      <c r="D20" s="1248"/>
      <c r="E20" s="1249"/>
      <c r="F20" s="1169"/>
    </row>
    <row r="21" spans="1:14" s="1082" customFormat="1" ht="30" customHeight="1">
      <c r="A21" s="1250" t="s">
        <v>793</v>
      </c>
      <c r="B21" s="1251" t="s">
        <v>709</v>
      </c>
      <c r="C21" s="1252" t="s">
        <v>794</v>
      </c>
      <c r="D21" s="1254"/>
      <c r="E21" s="1078"/>
      <c r="F21" s="1168">
        <f ca="1">IF(ISBLANK(E21),"",IF(AND(E21&gt;=DATE('t1'!$L$1-1,1,1),E21&lt;=TODAY()),"","Digitare una data non anteriore al 1 Gennaio "&amp;'t1'!$L$1-1&amp;" (gg/mm/aaaa)"))</f>
      </c>
      <c r="K21" s="1083" t="str">
        <f>LEFT(A21,3)</f>
        <v>GEN</v>
      </c>
      <c r="L21" s="1083" t="str">
        <f>RIGHT(A21,3)</f>
        <v>355</v>
      </c>
      <c r="M21" s="1083" t="str">
        <f>B21</f>
        <v>DATE</v>
      </c>
      <c r="N21" s="1253">
        <f ca="1">IF(AND(E21&gt;=DATE(2017,1,1),E21&lt;=TODAY()),"'"&amp;DAY(E21)&amp;"/"&amp;MONTH(E21)&amp;"/"&amp;YEAR(E21),"")</f>
      </c>
    </row>
    <row r="22" spans="1:6" s="1082" customFormat="1" ht="3.75" customHeight="1">
      <c r="A22" s="1243"/>
      <c r="B22" s="1243"/>
      <c r="C22" s="1248"/>
      <c r="D22" s="1248"/>
      <c r="E22" s="1249"/>
      <c r="F22" s="1169"/>
    </row>
    <row r="23" spans="1:14" s="1082" customFormat="1" ht="30" customHeight="1">
      <c r="A23" s="1069" t="s">
        <v>710</v>
      </c>
      <c r="B23" s="1070" t="s">
        <v>711</v>
      </c>
      <c r="C23" s="1252" t="s">
        <v>712</v>
      </c>
      <c r="D23" s="1063"/>
      <c r="E23" s="1079"/>
      <c r="F23" s="1168">
        <f>IF(ISBLANK(E23),"",IF(ISNUMBER(E23),IF(E23-INT(E23)=0,"","  Errore ! Inserire un numero intero senza decimali"),"  Errore ! Inserire un numero intero senza decimali"))</f>
      </c>
      <c r="K23" s="1083" t="str">
        <f>LEFT(A23,3)</f>
        <v>GEN</v>
      </c>
      <c r="L23" s="1083" t="str">
        <f>RIGHT(A23,3)</f>
        <v>195</v>
      </c>
      <c r="M23" s="1083" t="str">
        <f>B23</f>
        <v>INT</v>
      </c>
      <c r="N23" s="1084">
        <f>IF(ISNUMBER(E23),ROUND(E23,0),"")</f>
      </c>
    </row>
    <row r="24" spans="1:6" s="1082" customFormat="1" ht="3.75" customHeight="1">
      <c r="A24" s="1121"/>
      <c r="B24" s="1121"/>
      <c r="C24" s="1112"/>
      <c r="D24" s="1112"/>
      <c r="E24" s="1113"/>
      <c r="F24" s="1119"/>
    </row>
    <row r="25" spans="1:6" s="1082" customFormat="1" ht="30" customHeight="1">
      <c r="A25" s="1058" t="s">
        <v>713</v>
      </c>
      <c r="B25" s="1058"/>
      <c r="C25" s="1060" t="s">
        <v>849</v>
      </c>
      <c r="D25" s="1058"/>
      <c r="E25" s="1061"/>
      <c r="F25" s="1119"/>
    </row>
    <row r="26" spans="1:6" s="1082" customFormat="1" ht="3.75" customHeight="1">
      <c r="A26" s="1112"/>
      <c r="B26" s="1112"/>
      <c r="C26" s="1112"/>
      <c r="D26" s="1112"/>
      <c r="E26" s="1113"/>
      <c r="F26" s="1119"/>
    </row>
    <row r="27" spans="1:14" s="1082" customFormat="1" ht="30" customHeight="1">
      <c r="A27" s="1250" t="s">
        <v>867</v>
      </c>
      <c r="B27" s="1251" t="s">
        <v>711</v>
      </c>
      <c r="C27" s="1252" t="s">
        <v>868</v>
      </c>
      <c r="D27" s="1246"/>
      <c r="E27" s="1256"/>
      <c r="F27" s="1168">
        <f>IF(ISBLANK(E27),"",IF(ISNUMBER(E27),IF(E27-INT(E27)=0,"","  Errore ! Inserire un numero intero senza decimali"),"  Errore ! Inserire un numero intero senza decimali"))</f>
      </c>
      <c r="K27" s="1083" t="str">
        <f>LEFT(A27,3)</f>
        <v>LEG</v>
      </c>
      <c r="L27" s="1083" t="str">
        <f>RIGHT(A27,3)</f>
        <v>357</v>
      </c>
      <c r="M27" s="1083" t="str">
        <f>B27</f>
        <v>INT</v>
      </c>
      <c r="N27" s="1084">
        <f>IF(ISNUMBER(E27),ROUND(E27,0),"")</f>
      </c>
    </row>
    <row r="28" spans="1:6" s="1082" customFormat="1" ht="3.75" customHeight="1">
      <c r="A28" s="1243"/>
      <c r="B28" s="1243"/>
      <c r="C28" s="1248"/>
      <c r="D28" s="1248"/>
      <c r="E28" s="1249"/>
      <c r="F28" s="1169"/>
    </row>
    <row r="29" spans="1:14" s="1082" customFormat="1" ht="30" customHeight="1">
      <c r="A29" s="1127" t="s">
        <v>869</v>
      </c>
      <c r="B29" s="1257" t="s">
        <v>711</v>
      </c>
      <c r="C29" s="1122" t="s">
        <v>870</v>
      </c>
      <c r="D29" s="1258"/>
      <c r="E29" s="1259"/>
      <c r="F29" s="1168">
        <f>IF(ISBLANK(E29),"",IF(ISNUMBER(E29),IF(E29-INT(E29)=0,"","  Errore ! Inserire un numero intero senza decimali"),"  Errore ! Inserire un numero intero senza decimali"))</f>
      </c>
      <c r="K29" s="1083" t="str">
        <f>LEFT(A29,3)</f>
        <v>LEG</v>
      </c>
      <c r="L29" s="1083" t="str">
        <f>RIGHT(A29,3)</f>
        <v>361</v>
      </c>
      <c r="M29" s="1083" t="str">
        <f>B29</f>
        <v>INT</v>
      </c>
      <c r="N29" s="1084">
        <f>IF(ISNUMBER(E29),ROUND(E29,0),"")</f>
      </c>
    </row>
    <row r="30" spans="1:6" s="1082" customFormat="1" ht="3.75" customHeight="1">
      <c r="A30" s="1243"/>
      <c r="B30" s="1243"/>
      <c r="C30" s="1248"/>
      <c r="D30" s="1248"/>
      <c r="E30" s="1249"/>
      <c r="F30" s="1169"/>
    </row>
    <row r="31" spans="1:14" s="1082" customFormat="1" ht="30" customHeight="1">
      <c r="A31" s="1127" t="s">
        <v>871</v>
      </c>
      <c r="B31" s="1257" t="s">
        <v>711</v>
      </c>
      <c r="C31" s="1122" t="s">
        <v>872</v>
      </c>
      <c r="D31" s="1258"/>
      <c r="E31" s="1259"/>
      <c r="F31" s="1168">
        <f>IF(ISBLANK(E31),"",IF(ISNUMBER(E31),IF(E31-INT(E31)=0,"","  Errore ! Inserire un numero intero senza decimali"),"  Errore ! Inserire un numero intero senza decimali"))</f>
      </c>
      <c r="K31" s="1083" t="str">
        <f>LEFT(A31,3)</f>
        <v>LEG</v>
      </c>
      <c r="L31" s="1083" t="str">
        <f>RIGHT(A31,3)</f>
        <v>362</v>
      </c>
      <c r="M31" s="1083" t="str">
        <f>B31</f>
        <v>INT</v>
      </c>
      <c r="N31" s="1084">
        <f>IF(ISNUMBER(E31),ROUND(E31,0),"")</f>
      </c>
    </row>
    <row r="32" spans="1:6" s="1082" customFormat="1" ht="3.75" customHeight="1">
      <c r="A32" s="1243"/>
      <c r="B32" s="1243"/>
      <c r="C32" s="1248"/>
      <c r="D32" s="1248"/>
      <c r="E32" s="1249"/>
      <c r="F32" s="1169"/>
    </row>
    <row r="33" spans="1:14" s="1082" customFormat="1" ht="30" customHeight="1">
      <c r="A33" s="1123" t="s">
        <v>873</v>
      </c>
      <c r="B33" s="1257" t="s">
        <v>711</v>
      </c>
      <c r="C33" s="1122" t="s">
        <v>874</v>
      </c>
      <c r="D33" s="1246"/>
      <c r="E33" s="1256"/>
      <c r="F33" s="1168">
        <f>IF(ISBLANK(E33),"",IF(ISNUMBER(E33),IF(E33-INT(E33)=0,"","  Errore ! Inserire un numero intero senza decimali"),"  Errore ! Inserire un numero intero senza decimali"))</f>
      </c>
      <c r="K33" s="1083" t="str">
        <f>LEFT(A33,3)</f>
        <v>LEG</v>
      </c>
      <c r="L33" s="1083" t="str">
        <f>RIGHT(A33,3)</f>
        <v>364</v>
      </c>
      <c r="M33" s="1083" t="str">
        <f>B33</f>
        <v>INT</v>
      </c>
      <c r="N33" s="1084">
        <f>IF(ISNUMBER(E33),ROUND(E33,0),"")</f>
      </c>
    </row>
    <row r="34" spans="1:6" s="1082" customFormat="1" ht="3.75" customHeight="1">
      <c r="A34" s="1243"/>
      <c r="B34" s="1243"/>
      <c r="C34" s="1248"/>
      <c r="D34" s="1248"/>
      <c r="E34" s="1249"/>
      <c r="F34" s="1169"/>
    </row>
    <row r="35" spans="1:14" s="1082" customFormat="1" ht="30" customHeight="1">
      <c r="A35" s="1243" t="s">
        <v>714</v>
      </c>
      <c r="B35" s="1244" t="s">
        <v>711</v>
      </c>
      <c r="C35" s="1260" t="s">
        <v>875</v>
      </c>
      <c r="D35" s="1246"/>
      <c r="E35" s="1256"/>
      <c r="F35" s="1168">
        <f>IF(ISBLANK(E35),"",IF(ISNUMBER(E35),IF(E35-INT(E35)=0,"","  Errore ! Inserire un numero intero senza decimali"),"  Errore ! Inserire un numero intero senza decimali"))</f>
      </c>
      <c r="K35" s="1083" t="str">
        <f>LEFT(A35,3)</f>
        <v>LEG</v>
      </c>
      <c r="L35" s="1083" t="str">
        <f>RIGHT(A35,3)</f>
        <v>263</v>
      </c>
      <c r="M35" s="1083" t="str">
        <f>B35</f>
        <v>INT</v>
      </c>
      <c r="N35" s="1084">
        <f>IF(ISNUMBER(E35),ROUND(E35,0),"")</f>
      </c>
    </row>
    <row r="36" spans="1:6" s="1082" customFormat="1" ht="3.75" customHeight="1">
      <c r="A36" s="1115"/>
      <c r="B36" s="1115"/>
      <c r="C36" s="1124"/>
      <c r="D36" s="1112"/>
      <c r="E36" s="1118"/>
      <c r="F36" s="1119"/>
    </row>
    <row r="37" spans="1:6" s="1082" customFormat="1" ht="30" customHeight="1">
      <c r="A37" s="1058" t="s">
        <v>715</v>
      </c>
      <c r="B37" s="1058"/>
      <c r="C37" s="1060" t="s">
        <v>716</v>
      </c>
      <c r="D37" s="1058"/>
      <c r="E37" s="1061"/>
      <c r="F37" s="1119"/>
    </row>
    <row r="38" spans="1:6" s="1082" customFormat="1" ht="3.75" customHeight="1">
      <c r="A38" s="1112"/>
      <c r="B38" s="1112"/>
      <c r="C38" s="1112"/>
      <c r="D38" s="1112"/>
      <c r="E38" s="1113"/>
      <c r="F38" s="1119"/>
    </row>
    <row r="39" spans="1:14" s="1082" customFormat="1" ht="30" customHeight="1">
      <c r="A39" s="1127" t="s">
        <v>748</v>
      </c>
      <c r="B39" s="1116" t="s">
        <v>711</v>
      </c>
      <c r="C39" s="1122" t="s">
        <v>749</v>
      </c>
      <c r="E39" s="1120"/>
      <c r="F39" s="1081">
        <f>IF(ISBLANK(E39),"",IF(ISNUMBER(E39),IF(E39-INT(E39)=0,"","  Errore ! Inserire un numero intero senza decimali"),"  Errore ! Inserire un numero intero senza decimali"))</f>
      </c>
      <c r="K39" s="1083" t="str">
        <f>LEFT(A39,3)</f>
        <v>ORG</v>
      </c>
      <c r="L39" s="1083" t="str">
        <f>RIGHT(A39,3)</f>
        <v>337</v>
      </c>
      <c r="M39" s="1083" t="str">
        <f>B39</f>
        <v>INT</v>
      </c>
      <c r="N39" s="1084">
        <f>IF(ISNUMBER(E39),ROUND(E39,0),"")</f>
      </c>
    </row>
    <row r="40" spans="1:6" s="1082" customFormat="1" ht="3.75" customHeight="1">
      <c r="A40" s="1115"/>
      <c r="B40" s="1115"/>
      <c r="C40" s="1112"/>
      <c r="D40" s="1112"/>
      <c r="E40" s="1118"/>
      <c r="F40" s="1119"/>
    </row>
    <row r="41" spans="1:14" s="1082" customFormat="1" ht="30" customHeight="1">
      <c r="A41" s="1115" t="s">
        <v>750</v>
      </c>
      <c r="B41" s="1116" t="s">
        <v>711</v>
      </c>
      <c r="C41" s="1111" t="s">
        <v>751</v>
      </c>
      <c r="E41" s="1261"/>
      <c r="F41" s="1081">
        <f>IF(ISBLANK(E41),"",IF(ISNUMBER(E41),IF(E41-INT(E41)=0,"","  Errore ! Inserire un numero intero senza decimali"),"  Errore ! Inserire un numero intero senza decimali"))</f>
      </c>
      <c r="K41" s="1083" t="str">
        <f>LEFT(A41,3)</f>
        <v>ORG</v>
      </c>
      <c r="L41" s="1083" t="str">
        <f>RIGHT(A41,3)</f>
        <v>145</v>
      </c>
      <c r="M41" s="1083" t="str">
        <f>B41</f>
        <v>INT</v>
      </c>
      <c r="N41" s="1084">
        <f>IF(ISNUMBER(E41),ROUND(E41,0),"")</f>
      </c>
    </row>
    <row r="42" spans="1:6" s="1082" customFormat="1" ht="3.75" customHeight="1">
      <c r="A42" s="1121"/>
      <c r="B42" s="1121"/>
      <c r="C42" s="1112"/>
      <c r="D42" s="1112"/>
      <c r="E42" s="1118"/>
      <c r="F42" s="1119"/>
    </row>
    <row r="43" spans="1:14" s="1082" customFormat="1" ht="30" customHeight="1">
      <c r="A43" s="1115" t="s">
        <v>752</v>
      </c>
      <c r="B43" s="1116" t="s">
        <v>711</v>
      </c>
      <c r="C43" s="1111" t="s">
        <v>753</v>
      </c>
      <c r="E43" s="1261"/>
      <c r="F43" s="1081">
        <f>IF(ISBLANK(E43),"",IF(ISNUMBER(E43),IF(E43-INT(E43)=0,"","  Errore ! Inserire un numero intero senza decimali"),"  Errore ! Inserire un numero intero senza decimali"))</f>
      </c>
      <c r="K43" s="1083" t="str">
        <f>LEFT(A43,3)</f>
        <v>ORG</v>
      </c>
      <c r="L43" s="1083" t="str">
        <f>RIGHT(A43,3)</f>
        <v>160</v>
      </c>
      <c r="M43" s="1083" t="str">
        <f>B43</f>
        <v>INT</v>
      </c>
      <c r="N43" s="1084">
        <f>IF(ISNUMBER(E43),ROUND(E43,0),"")</f>
      </c>
    </row>
    <row r="44" spans="1:6" s="1082" customFormat="1" ht="3.75" customHeight="1">
      <c r="A44" s="1115"/>
      <c r="B44" s="1115"/>
      <c r="C44" s="1112"/>
      <c r="D44" s="1112"/>
      <c r="E44" s="1118"/>
      <c r="F44" s="1119"/>
    </row>
    <row r="45" spans="1:14" s="1082" customFormat="1" ht="30" customHeight="1">
      <c r="A45" s="1127" t="s">
        <v>754</v>
      </c>
      <c r="B45" s="1116" t="s">
        <v>711</v>
      </c>
      <c r="C45" s="1111" t="s">
        <v>755</v>
      </c>
      <c r="E45" s="1261"/>
      <c r="F45" s="1081">
        <f>IF(ISBLANK(E45),"",IF(ISNUMBER(E45),IF(E45-INT(E45)=0,"","  Errore ! Inserire un numero intero senza decimali"),"  Errore ! Inserire un numero intero senza decimali"))</f>
      </c>
      <c r="K45" s="1083" t="str">
        <f>LEFT(A45,3)</f>
        <v>ORG</v>
      </c>
      <c r="L45" s="1083" t="str">
        <f>RIGHT(A45,3)</f>
        <v>154</v>
      </c>
      <c r="M45" s="1083" t="str">
        <f>B45</f>
        <v>INT</v>
      </c>
      <c r="N45" s="1084">
        <f>IF(ISNUMBER(E45),ROUND(E45,0),"")</f>
      </c>
    </row>
    <row r="46" spans="1:6" s="1082" customFormat="1" ht="3.75" customHeight="1">
      <c r="A46" s="1115"/>
      <c r="B46" s="1115"/>
      <c r="C46" s="1112"/>
      <c r="D46" s="1112"/>
      <c r="E46" s="1118"/>
      <c r="F46" s="1119"/>
    </row>
    <row r="47" spans="1:14" s="1082" customFormat="1" ht="30" customHeight="1">
      <c r="A47" s="1115" t="s">
        <v>725</v>
      </c>
      <c r="B47" s="1116" t="s">
        <v>711</v>
      </c>
      <c r="C47" s="1111" t="s">
        <v>876</v>
      </c>
      <c r="E47" s="1261"/>
      <c r="F47" s="1081">
        <f>IF(ISBLANK(E47),"",IF(ISNUMBER(E47),IF(E47-INT(E47)=0,"","  Errore ! Inserire un numero intero senza decimali"),"  Errore ! Inserire un numero intero senza decimali"))</f>
      </c>
      <c r="K47" s="1083" t="str">
        <f>LEFT(A47,3)</f>
        <v>ORG</v>
      </c>
      <c r="L47" s="1083" t="str">
        <f>RIGHT(A47,3)</f>
        <v>136</v>
      </c>
      <c r="M47" s="1083" t="str">
        <f>B47</f>
        <v>INT</v>
      </c>
      <c r="N47" s="1084">
        <f>IF(ISNUMBER(E47),ROUND(E47,0),"")</f>
      </c>
    </row>
    <row r="48" spans="1:6" s="1082" customFormat="1" ht="3.75" customHeight="1">
      <c r="A48" s="1115"/>
      <c r="B48" s="1115"/>
      <c r="C48" s="1112"/>
      <c r="D48" s="1112"/>
      <c r="E48" s="1118"/>
      <c r="F48" s="1119"/>
    </row>
    <row r="49" spans="1:14" s="1082" customFormat="1" ht="30" customHeight="1">
      <c r="A49" s="1115" t="s">
        <v>726</v>
      </c>
      <c r="B49" s="1116" t="s">
        <v>711</v>
      </c>
      <c r="C49" s="1111" t="s">
        <v>877</v>
      </c>
      <c r="E49" s="1261"/>
      <c r="F49" s="1081">
        <f>IF(ISBLANK(E49),"",IF(ISNUMBER(E49),IF(E49-INT(E49)=0,"","  Errore ! Inserire un numero intero senza decimali"),"  Errore ! Inserire un numero intero senza decimali"))</f>
      </c>
      <c r="K49" s="1083" t="str">
        <f>LEFT(A49,3)</f>
        <v>ORG</v>
      </c>
      <c r="L49" s="1083" t="str">
        <f>RIGHT(A49,3)</f>
        <v>179</v>
      </c>
      <c r="M49" s="1083" t="str">
        <f>B49</f>
        <v>INT</v>
      </c>
      <c r="N49" s="1084">
        <f>IF(ISNUMBER(E49),ROUND(E49,0),"")</f>
      </c>
    </row>
    <row r="50" spans="1:6" s="1082" customFormat="1" ht="3.75" customHeight="1">
      <c r="A50" s="1115"/>
      <c r="B50" s="1115"/>
      <c r="C50" s="1112"/>
      <c r="D50" s="1112"/>
      <c r="E50" s="1118"/>
      <c r="F50" s="1119"/>
    </row>
    <row r="51" spans="1:14" s="1082" customFormat="1" ht="30" customHeight="1">
      <c r="A51" s="1115" t="s">
        <v>727</v>
      </c>
      <c r="B51" s="1116" t="s">
        <v>711</v>
      </c>
      <c r="C51" s="1111" t="s">
        <v>878</v>
      </c>
      <c r="E51" s="1261"/>
      <c r="F51" s="1081">
        <f>IF(ISBLANK(E51),"",IF(ISNUMBER(E51),IF(E51-INT(E51)=0,"","  Errore ! Inserire un numero intero senza decimali"),"  Errore ! Inserire un numero intero senza decimali"))</f>
      </c>
      <c r="K51" s="1083" t="str">
        <f>LEFT(A51,3)</f>
        <v>ORG</v>
      </c>
      <c r="L51" s="1083" t="str">
        <f>RIGHT(A51,3)</f>
        <v>161</v>
      </c>
      <c r="M51" s="1083" t="str">
        <f>B51</f>
        <v>INT</v>
      </c>
      <c r="N51" s="1084">
        <f>IF(ISNUMBER(E51),ROUND(E51,0),"")</f>
      </c>
    </row>
    <row r="52" spans="1:6" s="1082" customFormat="1" ht="3.75" customHeight="1">
      <c r="A52" s="1115"/>
      <c r="B52" s="1115"/>
      <c r="C52" s="1112"/>
      <c r="D52" s="1112"/>
      <c r="E52" s="1118"/>
      <c r="F52" s="1119"/>
    </row>
    <row r="53" spans="1:6" s="1082" customFormat="1" ht="30" customHeight="1">
      <c r="A53" s="1058" t="s">
        <v>756</v>
      </c>
      <c r="B53" s="1058"/>
      <c r="C53" s="1060" t="s">
        <v>757</v>
      </c>
      <c r="D53" s="1058"/>
      <c r="E53" s="1061"/>
      <c r="F53" s="1081"/>
    </row>
    <row r="54" spans="1:6" s="1082" customFormat="1" ht="3.75" customHeight="1">
      <c r="A54" s="1112"/>
      <c r="B54" s="1112"/>
      <c r="C54" s="1112"/>
      <c r="D54" s="1112"/>
      <c r="E54" s="1113"/>
      <c r="F54" s="1119"/>
    </row>
    <row r="55" spans="1:14" s="1082" customFormat="1" ht="30" customHeight="1">
      <c r="A55" s="1115" t="s">
        <v>758</v>
      </c>
      <c r="B55" s="1116" t="s">
        <v>705</v>
      </c>
      <c r="C55" s="1122" t="s">
        <v>759</v>
      </c>
      <c r="E55" s="1117"/>
      <c r="F55" s="1081">
        <f>IF(AND(LEN(E55)=1,OR(UPPER(E55)="N",UPPER(E55)="S")),"",IF(ISBLANK(E55),"","  Errore ! Inserire S o N"))</f>
      </c>
      <c r="K55" s="1083" t="str">
        <f>LEFT(A55,3)</f>
        <v>PEO</v>
      </c>
      <c r="L55" s="1083" t="str">
        <f>RIGHT(A55,3)</f>
        <v>338</v>
      </c>
      <c r="M55" s="1083" t="str">
        <f>B55</f>
        <v>FLAG</v>
      </c>
      <c r="N55" s="1084">
        <f>IF(AND(LEN(E55)=1,OR(UPPER(E55)="N",UPPER(E55)="S")),UPPER(E55),"")</f>
      </c>
    </row>
    <row r="56" spans="1:6" s="1082" customFormat="1" ht="3.75" customHeight="1">
      <c r="A56" s="1115"/>
      <c r="B56" s="1115"/>
      <c r="C56" s="1112"/>
      <c r="D56" s="1112"/>
      <c r="E56" s="1118"/>
      <c r="F56" s="1119"/>
    </row>
    <row r="57" spans="1:14" s="1082" customFormat="1" ht="30" customHeight="1">
      <c r="A57" s="1115" t="s">
        <v>760</v>
      </c>
      <c r="B57" s="1116" t="s">
        <v>711</v>
      </c>
      <c r="C57" s="1111" t="s">
        <v>879</v>
      </c>
      <c r="E57" s="1120"/>
      <c r="F57" s="1081">
        <f>IF(ISBLANK(E57),"",IF(ISNUMBER(E57),IF(E57-INT(E57)=0,"","  Errore ! Inserire un numero intero senza decimali"),"  Errore ! Inserire un numero intero senza decimali"))</f>
      </c>
      <c r="K57" s="1083" t="str">
        <f>LEFT(A57,3)</f>
        <v>PEO</v>
      </c>
      <c r="L57" s="1083" t="str">
        <f>RIGHT(A57,3)</f>
        <v>111</v>
      </c>
      <c r="M57" s="1083" t="str">
        <f>B57</f>
        <v>INT</v>
      </c>
      <c r="N57" s="1084">
        <f>IF(ISNUMBER(E57),ROUND(E57,0),"")</f>
      </c>
    </row>
    <row r="58" spans="1:6" s="1082" customFormat="1" ht="3.75" customHeight="1">
      <c r="A58" s="1115"/>
      <c r="B58" s="1115"/>
      <c r="C58" s="1112"/>
      <c r="D58" s="1112"/>
      <c r="E58" s="1118"/>
      <c r="F58" s="1119"/>
    </row>
    <row r="59" spans="1:14" s="1082" customFormat="1" ht="30" customHeight="1">
      <c r="A59" s="1115" t="s">
        <v>761</v>
      </c>
      <c r="B59" s="1116" t="s">
        <v>711</v>
      </c>
      <c r="C59" s="1111" t="s">
        <v>762</v>
      </c>
      <c r="E59" s="1120"/>
      <c r="F59" s="1081">
        <f>IF(ISBLANK(E59),"",IF(ISNUMBER(E59),IF(E59-INT(E59)=0,"","  Errore ! Inserire un numero intero senza decimali"),"  Errore ! Inserire un numero intero senza decimali"))</f>
      </c>
      <c r="K59" s="1083" t="str">
        <f>LEFT(A59,3)</f>
        <v>PEO</v>
      </c>
      <c r="L59" s="1083" t="str">
        <f>RIGHT(A59,3)</f>
        <v>188</v>
      </c>
      <c r="M59" s="1083" t="str">
        <f>B59</f>
        <v>INT</v>
      </c>
      <c r="N59" s="1084">
        <f>IF(ISNUMBER(E59),ROUND(E59,0),"")</f>
      </c>
    </row>
    <row r="60" spans="1:6" s="1082" customFormat="1" ht="3.75" customHeight="1">
      <c r="A60" s="1115"/>
      <c r="B60" s="1115"/>
      <c r="C60" s="1112"/>
      <c r="D60" s="1112"/>
      <c r="E60" s="1118"/>
      <c r="F60" s="1119"/>
    </row>
    <row r="61" spans="1:14" s="1082" customFormat="1" ht="30" customHeight="1">
      <c r="A61" s="1115" t="s">
        <v>763</v>
      </c>
      <c r="B61" s="1116" t="s">
        <v>705</v>
      </c>
      <c r="C61" s="1122" t="s">
        <v>880</v>
      </c>
      <c r="E61" s="1117"/>
      <c r="F61" s="1081">
        <f>IF(AND(LEN(E61)=1,OR(UPPER(E61)="N",UPPER(E61)="S")),"",IF(ISBLANK(E61),"","  Errore ! Inserire S o N"))</f>
      </c>
      <c r="K61" s="1083" t="str">
        <f>LEFT(A61,3)</f>
        <v>PEO</v>
      </c>
      <c r="L61" s="1083" t="str">
        <f>RIGHT(A61,3)</f>
        <v>119</v>
      </c>
      <c r="M61" s="1083" t="str">
        <f>B61</f>
        <v>FLAG</v>
      </c>
      <c r="N61" s="1084">
        <f>IF(AND(LEN(E61)=1,OR(UPPER(E61)="N",UPPER(E61)="S")),UPPER(E61),"")</f>
      </c>
    </row>
    <row r="62" spans="1:6" s="1082" customFormat="1" ht="3.75" customHeight="1">
      <c r="A62" s="1115"/>
      <c r="B62" s="1115"/>
      <c r="C62" s="1112"/>
      <c r="D62" s="1112"/>
      <c r="E62" s="1118"/>
      <c r="F62" s="1119"/>
    </row>
    <row r="63" spans="1:14" s="1082" customFormat="1" ht="30" customHeight="1">
      <c r="A63" s="1115" t="s">
        <v>764</v>
      </c>
      <c r="B63" s="1116" t="s">
        <v>705</v>
      </c>
      <c r="C63" s="1111" t="s">
        <v>765</v>
      </c>
      <c r="E63" s="1117"/>
      <c r="F63" s="1081">
        <f>IF(AND(LEN(E63)=1,OR(UPPER(E63)="N",UPPER(E63)="S")),"",IF(ISBLANK(E63),"","  Errore ! Inserire S o N"))</f>
      </c>
      <c r="K63" s="1083" t="str">
        <f>LEFT(A63,3)</f>
        <v>PEO</v>
      </c>
      <c r="L63" s="1083" t="str">
        <f>RIGHT(A63,3)</f>
        <v>266</v>
      </c>
      <c r="M63" s="1083" t="str">
        <f>B63</f>
        <v>FLAG</v>
      </c>
      <c r="N63" s="1084">
        <f>IF(AND(LEN(E63)=1,OR(UPPER(E63)="N",UPPER(E63)="S")),UPPER(E63),"")</f>
      </c>
    </row>
    <row r="64" spans="1:6" s="1082" customFormat="1" ht="3.75" customHeight="1">
      <c r="A64" s="1115"/>
      <c r="B64" s="1115"/>
      <c r="C64" s="1112"/>
      <c r="D64" s="1112"/>
      <c r="E64" s="1118"/>
      <c r="F64" s="1119"/>
    </row>
    <row r="65" spans="1:14" s="1082" customFormat="1" ht="30" customHeight="1">
      <c r="A65" s="1115" t="s">
        <v>766</v>
      </c>
      <c r="B65" s="1116" t="s">
        <v>711</v>
      </c>
      <c r="C65" s="1111" t="s">
        <v>881</v>
      </c>
      <c r="E65" s="1120"/>
      <c r="F65" s="1081">
        <f>IF(ISBLANK(E65),"",IF(ISNUMBER(E65),IF(E65-INT(E65)=0,"","  Errore ! Inserire un numero intero senza decimali"),"  Errore ! Inserire un numero intero senza decimali"))</f>
      </c>
      <c r="K65" s="1083" t="str">
        <f>LEFT(A65,3)</f>
        <v>PEO</v>
      </c>
      <c r="L65" s="1083" t="str">
        <f>RIGHT(A65,3)</f>
        <v>133</v>
      </c>
      <c r="M65" s="1083" t="str">
        <f>B65</f>
        <v>INT</v>
      </c>
      <c r="N65" s="1084">
        <f>IF(ISNUMBER(E65),ROUND(E65,0),"")</f>
      </c>
    </row>
    <row r="66" spans="1:6" s="1082" customFormat="1" ht="3.75" customHeight="1">
      <c r="A66" s="1121"/>
      <c r="B66" s="1121"/>
      <c r="C66" s="1112"/>
      <c r="D66" s="1112"/>
      <c r="E66" s="1113"/>
      <c r="F66" s="1119"/>
    </row>
    <row r="67" spans="1:6" s="1082" customFormat="1" ht="30" customHeight="1">
      <c r="A67" s="1058" t="s">
        <v>731</v>
      </c>
      <c r="B67" s="1058"/>
      <c r="C67" s="1060" t="s">
        <v>882</v>
      </c>
      <c r="D67" s="1058"/>
      <c r="E67" s="1061"/>
      <c r="F67" s="1081"/>
    </row>
    <row r="68" spans="1:6" s="1082" customFormat="1" ht="3.75" customHeight="1">
      <c r="A68" s="1112"/>
      <c r="B68" s="1112"/>
      <c r="C68" s="1112"/>
      <c r="D68" s="1112"/>
      <c r="E68" s="1113"/>
      <c r="F68" s="1119"/>
    </row>
    <row r="69" spans="1:14" s="1082" customFormat="1" ht="30" customHeight="1">
      <c r="A69" s="1123" t="s">
        <v>883</v>
      </c>
      <c r="B69" s="1257" t="s">
        <v>705</v>
      </c>
      <c r="C69" s="1122" t="s">
        <v>884</v>
      </c>
      <c r="E69" s="1117"/>
      <c r="F69" s="1081">
        <f>IF(AND(LEN(E69)=1,OR(UPPER(E69)="N",UPPER(E69)="S")),"",IF(ISBLANK(E69),"","  Errore ! Inserire S o N"))</f>
      </c>
      <c r="K69" s="1083" t="str">
        <f>LEFT(A69,3)</f>
        <v>PRD</v>
      </c>
      <c r="L69" s="1083" t="str">
        <f>RIGHT(A69,3)</f>
        <v>396</v>
      </c>
      <c r="M69" s="1083" t="str">
        <f>B69</f>
        <v>FLAG</v>
      </c>
      <c r="N69" s="1084">
        <f>IF(AND(LEN(E69)=1,OR(UPPER(E69)="N",UPPER(E69)="S")),UPPER(E69),"")</f>
      </c>
    </row>
    <row r="70" spans="1:6" s="1082" customFormat="1" ht="3.75" customHeight="1">
      <c r="A70" s="1112"/>
      <c r="B70" s="1112"/>
      <c r="C70" s="1112"/>
      <c r="D70" s="1112"/>
      <c r="E70" s="1113"/>
      <c r="F70" s="1119"/>
    </row>
    <row r="71" spans="1:14" s="1082" customFormat="1" ht="30" customHeight="1">
      <c r="A71" s="1123" t="s">
        <v>885</v>
      </c>
      <c r="B71" s="1257" t="s">
        <v>711</v>
      </c>
      <c r="C71" s="1122" t="s">
        <v>886</v>
      </c>
      <c r="E71" s="1261"/>
      <c r="F71" s="1081">
        <f>IF(ISBLANK(E71),"",IF(ISNUMBER(E71),IF(E71-INT(E71)=0,"","  Errore ! Inserire un numero intero senza decimali"),"  Errore ! Inserire un numero intero senza decimali"))</f>
      </c>
      <c r="K71" s="1083" t="str">
        <f>LEFT(A71,3)</f>
        <v>PRD</v>
      </c>
      <c r="L71" s="1083" t="str">
        <f>RIGHT(A71,3)</f>
        <v>368</v>
      </c>
      <c r="M71" s="1083" t="str">
        <f>B71</f>
        <v>INT</v>
      </c>
      <c r="N71" s="1084">
        <f>IF(ISNUMBER(E71),ROUND(E71,0),"")</f>
      </c>
    </row>
    <row r="72" spans="1:6" s="1082" customFormat="1" ht="3.75" customHeight="1">
      <c r="A72" s="1115"/>
      <c r="B72" s="1115"/>
      <c r="C72" s="1112"/>
      <c r="D72" s="1112"/>
      <c r="E72" s="1118"/>
      <c r="F72" s="1119"/>
    </row>
    <row r="73" spans="1:14" s="1082" customFormat="1" ht="30" customHeight="1">
      <c r="A73" s="1123" t="s">
        <v>887</v>
      </c>
      <c r="B73" s="1257" t="s">
        <v>711</v>
      </c>
      <c r="C73" s="1122" t="s">
        <v>888</v>
      </c>
      <c r="E73" s="1261"/>
      <c r="F73" s="1081">
        <f>IF(ISBLANK(E73),"",IF(ISNUMBER(E73),IF(E73-INT(E73)=0,"","  Errore ! Inserire un numero intero senza decimali"),"  Errore ! Inserire un numero intero senza decimali"))</f>
      </c>
      <c r="K73" s="1083" t="str">
        <f>LEFT(A73,3)</f>
        <v>PRD</v>
      </c>
      <c r="L73" s="1083" t="str">
        <f>RIGHT(A73,3)</f>
        <v>369</v>
      </c>
      <c r="M73" s="1083" t="str">
        <f>B73</f>
        <v>INT</v>
      </c>
      <c r="N73" s="1084">
        <f>IF(ISNUMBER(E73),ROUND(E73,0),"")</f>
      </c>
    </row>
    <row r="74" spans="1:6" s="1082" customFormat="1" ht="3.75" customHeight="1">
      <c r="A74" s="1115"/>
      <c r="B74" s="1115"/>
      <c r="C74" s="1112"/>
      <c r="D74" s="1112"/>
      <c r="E74" s="1118"/>
      <c r="F74" s="1119"/>
    </row>
    <row r="75" spans="1:14" s="1082" customFormat="1" ht="30" customHeight="1">
      <c r="A75" s="1123" t="s">
        <v>889</v>
      </c>
      <c r="B75" s="1257" t="s">
        <v>711</v>
      </c>
      <c r="C75" s="1122" t="s">
        <v>890</v>
      </c>
      <c r="E75" s="1261"/>
      <c r="F75" s="1081">
        <f>IF(ISBLANK(E75),"",IF(ISNUMBER(E75),IF(E75-INT(E75)=0,"","  Errore ! Inserire un numero intero senza decimali"),"  Errore ! Inserire un numero intero senza decimali"))</f>
      </c>
      <c r="K75" s="1083" t="str">
        <f>LEFT(A75,3)</f>
        <v>PRD</v>
      </c>
      <c r="L75" s="1083" t="str">
        <f>RIGHT(A75,3)</f>
        <v>370</v>
      </c>
      <c r="M75" s="1083" t="str">
        <f>B75</f>
        <v>INT</v>
      </c>
      <c r="N75" s="1084">
        <f>IF(ISNUMBER(E75),ROUND(E75,0),"")</f>
      </c>
    </row>
    <row r="76" spans="1:6" s="1082" customFormat="1" ht="3.75" customHeight="1">
      <c r="A76" s="1115"/>
      <c r="B76" s="1115"/>
      <c r="C76" s="1112"/>
      <c r="D76" s="1112"/>
      <c r="E76" s="1118"/>
      <c r="F76" s="1119"/>
    </row>
    <row r="77" spans="1:14" s="1082" customFormat="1" ht="30" customHeight="1">
      <c r="A77" s="1115" t="s">
        <v>767</v>
      </c>
      <c r="B77" s="1116" t="s">
        <v>711</v>
      </c>
      <c r="C77" s="1111" t="s">
        <v>891</v>
      </c>
      <c r="E77" s="1261"/>
      <c r="F77" s="1081">
        <f>IF(ISBLANK(E77),"",IF(ISNUMBER(E77),IF(E77-INT(E77)=0,"","  Errore ! Inserire un numero intero senza decimali"),"  Errore ! Inserire un numero intero senza decimali"))</f>
      </c>
      <c r="K77" s="1083" t="str">
        <f>LEFT(A77,3)</f>
        <v>PRD</v>
      </c>
      <c r="L77" s="1083" t="str">
        <f>RIGHT(A77,3)</f>
        <v>287</v>
      </c>
      <c r="M77" s="1083" t="str">
        <f>B77</f>
        <v>INT</v>
      </c>
      <c r="N77" s="1084">
        <f>IF(ISNUMBER(E77),ROUND(E77,0),"")</f>
      </c>
    </row>
    <row r="78" spans="1:6" s="1082" customFormat="1" ht="3.75" customHeight="1">
      <c r="A78" s="1115"/>
      <c r="B78" s="1115"/>
      <c r="C78" s="1112"/>
      <c r="D78" s="1112"/>
      <c r="E78" s="1118"/>
      <c r="F78" s="1119"/>
    </row>
    <row r="79" spans="1:14" s="1082" customFormat="1" ht="30" customHeight="1">
      <c r="A79" s="1115" t="s">
        <v>768</v>
      </c>
      <c r="B79" s="1116" t="s">
        <v>711</v>
      </c>
      <c r="C79" s="1111" t="s">
        <v>892</v>
      </c>
      <c r="E79" s="1261"/>
      <c r="F79" s="1081">
        <f>IF(ISBLANK(E79),"",IF(ISNUMBER(E79),IF(E79-INT(E79)=0,"","  Errore ! Inserire un numero intero senza decimali"),"  Errore ! Inserire un numero intero senza decimali"))</f>
      </c>
      <c r="K79" s="1083" t="str">
        <f>LEFT(A79,3)</f>
        <v>PRD</v>
      </c>
      <c r="L79" s="1083" t="str">
        <f>RIGHT(A79,3)</f>
        <v>134</v>
      </c>
      <c r="M79" s="1083" t="str">
        <f>B79</f>
        <v>INT</v>
      </c>
      <c r="N79" s="1084">
        <f>IF(ISNUMBER(E79),ROUND(E79,0),"")</f>
      </c>
    </row>
    <row r="80" spans="1:6" s="1082" customFormat="1" ht="3.75" customHeight="1">
      <c r="A80" s="1115"/>
      <c r="B80" s="1115"/>
      <c r="C80" s="1112"/>
      <c r="D80" s="1112"/>
      <c r="E80" s="1118"/>
      <c r="F80" s="1111"/>
    </row>
    <row r="81" spans="1:9" s="1082" customFormat="1" ht="30" customHeight="1">
      <c r="A81" s="1058" t="s">
        <v>741</v>
      </c>
      <c r="B81" s="1058"/>
      <c r="C81" s="1060" t="s">
        <v>742</v>
      </c>
      <c r="D81" s="1128"/>
      <c r="E81" s="1129"/>
      <c r="F81" s="1130"/>
      <c r="H81" s="1125"/>
      <c r="I81" s="1126"/>
    </row>
    <row r="82" spans="1:6" s="1082" customFormat="1" ht="3.75" customHeight="1">
      <c r="A82" s="1131"/>
      <c r="B82" s="1131"/>
      <c r="C82" s="1112"/>
      <c r="D82" s="1112"/>
      <c r="E82" s="1113"/>
      <c r="F82" s="1132"/>
    </row>
    <row r="83" spans="1:14" s="1082" customFormat="1" ht="15">
      <c r="A83" s="1115" t="s">
        <v>743</v>
      </c>
      <c r="B83" s="1115" t="s">
        <v>431</v>
      </c>
      <c r="C83" s="1112" t="s">
        <v>744</v>
      </c>
      <c r="E83" s="1113"/>
      <c r="F83" s="1132"/>
      <c r="K83" s="1083" t="str">
        <f>LEFT(A83,3)</f>
        <v>INF</v>
      </c>
      <c r="L83" s="1083" t="str">
        <f>RIGHT(A83,3)</f>
        <v>209</v>
      </c>
      <c r="M83" s="1083" t="str">
        <f>B83</f>
        <v>NOTE</v>
      </c>
      <c r="N83" s="1082">
        <f>IF(ISBLANK(C84),"",LEFT(C84,1500))</f>
      </c>
    </row>
    <row r="84" spans="1:6" s="1082" customFormat="1" ht="45" customHeight="1">
      <c r="A84" s="1133"/>
      <c r="B84" s="1133"/>
      <c r="C84" s="1428"/>
      <c r="D84" s="1429"/>
      <c r="E84" s="1430"/>
      <c r="F84" s="1093">
        <f>IF(LEN(C84)&gt;1500,"Attenzione, è stato superato il numero massimo di 1500 caratteri","")</f>
      </c>
    </row>
    <row r="85" spans="1:6" s="1082" customFormat="1" ht="15">
      <c r="A85" s="1134"/>
      <c r="B85" s="1134"/>
      <c r="C85" s="1112"/>
      <c r="D85" s="1112"/>
      <c r="E85" s="1135"/>
      <c r="F85" s="1132"/>
    </row>
    <row r="86" spans="1:14" s="1082" customFormat="1" ht="15">
      <c r="A86" s="1115" t="s">
        <v>745</v>
      </c>
      <c r="B86" s="1115" t="s">
        <v>431</v>
      </c>
      <c r="C86" s="1112" t="s">
        <v>746</v>
      </c>
      <c r="E86" s="1113"/>
      <c r="F86" s="1132"/>
      <c r="K86" s="1083" t="str">
        <f>LEFT(A86,3)</f>
        <v>INF</v>
      </c>
      <c r="L86" s="1083" t="str">
        <f>RIGHT(A86,3)</f>
        <v>127</v>
      </c>
      <c r="M86" s="1083" t="str">
        <f>B86</f>
        <v>NOTE</v>
      </c>
      <c r="N86" s="1082">
        <f>IF(ISBLANK(C87),"",LEFT(C87,1500))</f>
      </c>
    </row>
    <row r="87" spans="1:11" s="1082" customFormat="1" ht="45" customHeight="1">
      <c r="A87" s="1133"/>
      <c r="B87" s="1133"/>
      <c r="C87" s="1428"/>
      <c r="D87" s="1429"/>
      <c r="E87" s="1430"/>
      <c r="F87" s="1093">
        <f>IF(LEN(C87)&gt;1500,"Attenzione, è stato superato il numero massimo di 1500 caratteri","")</f>
      </c>
      <c r="K87" s="1098" t="s">
        <v>586</v>
      </c>
    </row>
  </sheetData>
  <sheetProtection password="EA98" sheet="1" selectLockedCells="1"/>
  <mergeCells count="5">
    <mergeCell ref="F2:F3"/>
    <mergeCell ref="F4:F5"/>
    <mergeCell ref="F6:F9"/>
    <mergeCell ref="C84:E84"/>
    <mergeCell ref="C87:E87"/>
  </mergeCells>
  <dataValidations count="4">
    <dataValidation type="textLength" allowBlank="1" showInputMessage="1" showErrorMessage="1" errorTitle="Errore di digitazione" error="Inserire massimo 1500 caratteri" sqref="C84:E84 C87:E87">
      <formula1>0</formula1>
      <formula2>1500</formula2>
    </dataValidation>
    <dataValidation type="whole" operator="lessThan" allowBlank="1" showInputMessage="1" showErrorMessage="1" errorTitle="Errore di digitazione" error="Inserire solo numeri interi o lasciare vuoto." sqref="E43 E45 E47 E23 E39 E49 E27 E29 E33 E35 E31 E57 E59 E65 E51 E41 E77 E79 E71 E73 E75">
      <formula1>100000000000000</formula1>
    </dataValidation>
    <dataValidation type="list" allowBlank="1" showDropDown="1" showInputMessage="1" showErrorMessage="1" errorTitle="Errore di digitazione" error="Digitare 'S' o 'N' o lasciare in bianco" sqref="E55 E61 E63 E13 E15 E69">
      <formula1>"s,n,S,N"</formula1>
    </dataValidation>
    <dataValidation type="date" allowBlank="1" showInputMessage="1" showErrorMessage="1" errorTitle="Errore di digitazione" error="Digitare una data non anteriore al 1 Gennaio dell'anno precedente alla di rilevazione (gg/mm/aaaa)" sqref="E17 E19 E21">
      <formula1>42736</formula1>
      <formula2>TODAY()</formula2>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portrait" paperSize="9" scale="50" r:id="rId1"/>
</worksheet>
</file>

<file path=xl/worksheets/sheet23.xml><?xml version="1.0" encoding="utf-8"?>
<worksheet xmlns="http://schemas.openxmlformats.org/spreadsheetml/2006/main" xmlns:r="http://schemas.openxmlformats.org/officeDocument/2006/relationships">
  <dimension ref="A1:L44"/>
  <sheetViews>
    <sheetView zoomScalePageLayoutView="0" workbookViewId="0" topLeftCell="A1">
      <pane ySplit="3" topLeftCell="A4" activePane="bottomLeft" state="frozen"/>
      <selection pane="topLeft" activeCell="A1" sqref="A1"/>
      <selection pane="bottomLeft" activeCell="C4" sqref="C4:C6"/>
    </sheetView>
  </sheetViews>
  <sheetFormatPr defaultColWidth="9.33203125" defaultRowHeight="10.5"/>
  <cols>
    <col min="1" max="1" width="87.83203125" style="375" customWidth="1"/>
    <col min="2" max="3" width="25.83203125" style="375" customWidth="1"/>
    <col min="4" max="4" width="60.83203125" style="375" customWidth="1"/>
    <col min="5" max="5" width="9.16015625" style="375" hidden="1" customWidth="1"/>
    <col min="6" max="6" width="10" style="375" customWidth="1"/>
    <col min="7" max="16384" width="9.16015625" style="375" customWidth="1"/>
  </cols>
  <sheetData>
    <row r="1" spans="1:12" s="374" customFormat="1" ht="43.5" customHeight="1">
      <c r="A1" s="1349" t="str">
        <f>'t1'!A1</f>
        <v>CNEL - anno 2018</v>
      </c>
      <c r="B1" s="1349"/>
      <c r="C1" s="1431"/>
      <c r="D1" s="1431"/>
      <c r="E1" s="373"/>
      <c r="F1" s="4"/>
      <c r="G1" s="373"/>
      <c r="H1" s="373"/>
      <c r="I1" s="373"/>
      <c r="J1" s="373"/>
      <c r="L1" s="375"/>
    </row>
    <row r="2" spans="1:4" ht="30" customHeight="1" thickBot="1">
      <c r="A2" s="1432" t="str">
        <f>IF(B31&gt;0,IF($F$32&gt;0," ","Attenzione: Compilare la presente Tabella"),IF(C31=0," "," "))</f>
        <v> </v>
      </c>
      <c r="B2" s="1432"/>
      <c r="C2" s="1433"/>
      <c r="D2" s="1433"/>
    </row>
    <row r="3" spans="1:4" ht="21.75" customHeight="1" thickBot="1">
      <c r="A3" s="795" t="s">
        <v>581</v>
      </c>
      <c r="B3" s="796" t="s">
        <v>582</v>
      </c>
      <c r="C3" s="1154"/>
      <c r="D3" s="1155"/>
    </row>
    <row r="4" spans="1:5" s="800" customFormat="1" ht="23.25" customHeight="1">
      <c r="A4" s="797" t="s">
        <v>583</v>
      </c>
      <c r="B4" s="798">
        <f>'t12'!J23</f>
        <v>0</v>
      </c>
      <c r="C4" s="1434"/>
      <c r="D4" s="1435"/>
      <c r="E4" s="799" t="s">
        <v>584</v>
      </c>
    </row>
    <row r="5" spans="1:5" s="800" customFormat="1" ht="23.25" customHeight="1">
      <c r="A5" s="697" t="s">
        <v>585</v>
      </c>
      <c r="B5" s="801">
        <f>'t13'!R23</f>
        <v>0</v>
      </c>
      <c r="C5" s="1434"/>
      <c r="D5" s="1435"/>
      <c r="E5" s="799" t="s">
        <v>586</v>
      </c>
    </row>
    <row r="6" spans="1:5" s="800" customFormat="1" ht="23.25" customHeight="1">
      <c r="A6" s="697" t="s">
        <v>587</v>
      </c>
      <c r="B6" s="801">
        <f>'t14'!D4</f>
        <v>0</v>
      </c>
      <c r="C6" s="1434"/>
      <c r="D6" s="1435"/>
      <c r="E6" s="799" t="s">
        <v>586</v>
      </c>
    </row>
    <row r="7" spans="1:5" s="800" customFormat="1" ht="23.25" customHeight="1">
      <c r="A7" s="697" t="s">
        <v>588</v>
      </c>
      <c r="B7" s="1156"/>
      <c r="C7" s="1156"/>
      <c r="D7" s="1157"/>
      <c r="E7" s="799" t="s">
        <v>171</v>
      </c>
    </row>
    <row r="8" spans="1:5" s="800" customFormat="1" ht="23.25" customHeight="1">
      <c r="A8" s="697" t="s">
        <v>149</v>
      </c>
      <c r="B8" s="1158"/>
      <c r="C8" s="1158"/>
      <c r="D8" s="1159"/>
      <c r="E8" s="799" t="s">
        <v>172</v>
      </c>
    </row>
    <row r="9" spans="1:5" s="800" customFormat="1" ht="23.25" customHeight="1">
      <c r="A9" s="804" t="s">
        <v>153</v>
      </c>
      <c r="B9" s="1158"/>
      <c r="C9" s="1158"/>
      <c r="D9" s="1159"/>
      <c r="E9" s="799" t="s">
        <v>173</v>
      </c>
    </row>
    <row r="10" spans="1:5" s="800" customFormat="1" ht="23.25" customHeight="1">
      <c r="A10" s="697" t="s">
        <v>152</v>
      </c>
      <c r="B10" s="1158"/>
      <c r="C10" s="1158"/>
      <c r="D10" s="1159"/>
      <c r="E10" s="799" t="s">
        <v>174</v>
      </c>
    </row>
    <row r="11" spans="1:5" s="800" customFormat="1" ht="23.25" customHeight="1">
      <c r="A11" s="697" t="s">
        <v>151</v>
      </c>
      <c r="B11" s="1158"/>
      <c r="C11" s="1158"/>
      <c r="D11" s="1159"/>
      <c r="E11" s="799" t="s">
        <v>175</v>
      </c>
    </row>
    <row r="12" spans="1:5" s="800" customFormat="1" ht="23.25" customHeight="1">
      <c r="A12" s="697" t="s">
        <v>604</v>
      </c>
      <c r="B12" s="1158"/>
      <c r="C12" s="1158"/>
      <c r="D12" s="1159"/>
      <c r="E12" s="799" t="s">
        <v>163</v>
      </c>
    </row>
    <row r="13" spans="1:5" s="800" customFormat="1" ht="23.25" customHeight="1">
      <c r="A13" s="697" t="s">
        <v>605</v>
      </c>
      <c r="B13" s="1158"/>
      <c r="C13" s="1158"/>
      <c r="D13" s="1159"/>
      <c r="E13" s="799" t="s">
        <v>162</v>
      </c>
    </row>
    <row r="14" spans="1:5" s="800" customFormat="1" ht="23.25" customHeight="1">
      <c r="A14" s="697" t="s">
        <v>176</v>
      </c>
      <c r="B14" s="1160"/>
      <c r="C14" s="1160"/>
      <c r="D14" s="1161"/>
      <c r="E14" s="799" t="s">
        <v>177</v>
      </c>
    </row>
    <row r="15" spans="1:5" s="800" customFormat="1" ht="23.25" customHeight="1">
      <c r="A15" s="697" t="s">
        <v>52</v>
      </c>
      <c r="B15" s="807">
        <f>'t14'!D12</f>
        <v>0</v>
      </c>
      <c r="C15" s="802"/>
      <c r="D15" s="803"/>
      <c r="E15" s="799" t="s">
        <v>179</v>
      </c>
    </row>
    <row r="16" spans="1:5" s="800" customFormat="1" ht="23.25" customHeight="1">
      <c r="A16" s="697" t="s">
        <v>394</v>
      </c>
      <c r="B16" s="801">
        <f>'t14'!D13</f>
        <v>0</v>
      </c>
      <c r="C16" s="1148"/>
      <c r="D16" s="1149"/>
      <c r="E16" s="799" t="s">
        <v>190</v>
      </c>
    </row>
    <row r="17" spans="1:5" s="800" customFormat="1" ht="23.25" customHeight="1">
      <c r="A17" s="697" t="s">
        <v>589</v>
      </c>
      <c r="B17" s="1156"/>
      <c r="C17" s="1156"/>
      <c r="D17" s="1157"/>
      <c r="E17" s="799" t="s">
        <v>3</v>
      </c>
    </row>
    <row r="18" spans="1:5" s="751" customFormat="1" ht="23.25" customHeight="1">
      <c r="A18" s="697" t="s">
        <v>109</v>
      </c>
      <c r="B18" s="1160"/>
      <c r="C18" s="1160"/>
      <c r="D18" s="1161"/>
      <c r="E18" s="794" t="s">
        <v>178</v>
      </c>
    </row>
    <row r="19" spans="1:5" s="374" customFormat="1" ht="23.25" customHeight="1">
      <c r="A19" s="697" t="s">
        <v>606</v>
      </c>
      <c r="B19" s="801">
        <f>'t14'!D16</f>
        <v>0</v>
      </c>
      <c r="C19" s="1150"/>
      <c r="D19" s="1151"/>
      <c r="E19" s="808" t="s">
        <v>160</v>
      </c>
    </row>
    <row r="20" spans="1:5" s="751" customFormat="1" ht="23.25" customHeight="1">
      <c r="A20" s="697" t="s">
        <v>396</v>
      </c>
      <c r="B20" s="1156"/>
      <c r="C20" s="1156"/>
      <c r="D20" s="1157"/>
      <c r="E20" s="799" t="s">
        <v>161</v>
      </c>
    </row>
    <row r="21" spans="1:5" s="751" customFormat="1" ht="23.25" customHeight="1">
      <c r="A21" s="697" t="s">
        <v>150</v>
      </c>
      <c r="B21" s="1160"/>
      <c r="C21" s="1160"/>
      <c r="D21" s="1161"/>
      <c r="E21" s="799" t="s">
        <v>170</v>
      </c>
    </row>
    <row r="22" spans="1:5" s="751" customFormat="1" ht="23.25" customHeight="1">
      <c r="A22" s="697" t="s">
        <v>610</v>
      </c>
      <c r="B22" s="801">
        <f>'t14'!D19</f>
        <v>0</v>
      </c>
      <c r="C22" s="802"/>
      <c r="D22" s="803"/>
      <c r="E22" s="799" t="s">
        <v>611</v>
      </c>
    </row>
    <row r="23" spans="1:5" s="751" customFormat="1" ht="23.25" customHeight="1">
      <c r="A23" s="697" t="s">
        <v>590</v>
      </c>
      <c r="B23" s="801">
        <f>'t14'!D20</f>
        <v>0</v>
      </c>
      <c r="C23" s="802"/>
      <c r="D23" s="803"/>
      <c r="E23" s="799" t="s">
        <v>166</v>
      </c>
    </row>
    <row r="24" spans="1:5" s="751" customFormat="1" ht="23.25" customHeight="1">
      <c r="A24" s="697" t="s">
        <v>607</v>
      </c>
      <c r="B24" s="801">
        <f>'t14'!D21</f>
        <v>0</v>
      </c>
      <c r="C24" s="805"/>
      <c r="D24" s="806"/>
      <c r="E24" s="799" t="s">
        <v>167</v>
      </c>
    </row>
    <row r="25" spans="1:5" s="751" customFormat="1" ht="23.25" customHeight="1">
      <c r="A25" s="697" t="s">
        <v>591</v>
      </c>
      <c r="B25" s="801">
        <f>'t14'!D22</f>
        <v>0</v>
      </c>
      <c r="C25" s="1148"/>
      <c r="D25" s="1149"/>
      <c r="E25" s="799" t="s">
        <v>168</v>
      </c>
    </row>
    <row r="26" spans="1:5" s="751" customFormat="1" ht="23.25" customHeight="1">
      <c r="A26" s="809" t="s">
        <v>608</v>
      </c>
      <c r="B26" s="1154"/>
      <c r="C26" s="1154"/>
      <c r="D26" s="1155"/>
      <c r="E26" s="799" t="s">
        <v>164</v>
      </c>
    </row>
    <row r="27" spans="1:5" s="751" customFormat="1" ht="23.25" customHeight="1" thickBot="1">
      <c r="A27" s="699" t="s">
        <v>592</v>
      </c>
      <c r="B27" s="810">
        <f>'t14'!D25+'t14'!D26</f>
        <v>0</v>
      </c>
      <c r="C27" s="1152"/>
      <c r="D27" s="1153"/>
      <c r="E27" s="799" t="s">
        <v>593</v>
      </c>
    </row>
    <row r="28" spans="1:5" ht="15.75" customHeight="1" thickBot="1">
      <c r="A28" s="813" t="s">
        <v>594</v>
      </c>
      <c r="B28" s="814">
        <f>SUM(B4:B27)</f>
        <v>0</v>
      </c>
      <c r="C28" s="814">
        <f>SUM(C4:C27)</f>
        <v>0</v>
      </c>
      <c r="D28" s="815"/>
      <c r="E28" s="799" t="s">
        <v>586</v>
      </c>
    </row>
    <row r="29" spans="1:5" ht="15.75" customHeight="1">
      <c r="A29" s="816"/>
      <c r="B29" s="816"/>
      <c r="C29" s="816"/>
      <c r="D29" s="817"/>
      <c r="E29" s="799" t="s">
        <v>586</v>
      </c>
    </row>
    <row r="30" spans="1:5" s="751" customFormat="1" ht="23.25" customHeight="1" thickBot="1">
      <c r="A30" s="818" t="s">
        <v>595</v>
      </c>
      <c r="B30" s="801">
        <f>'t14'!D27+'t14'!D28+'t14'!D29</f>
        <v>0</v>
      </c>
      <c r="C30" s="811"/>
      <c r="D30" s="812"/>
      <c r="E30" s="799" t="s">
        <v>596</v>
      </c>
    </row>
    <row r="31" spans="1:5" ht="15.75" customHeight="1" thickBot="1">
      <c r="A31" s="813" t="s">
        <v>597</v>
      </c>
      <c r="B31" s="814">
        <f>B28-B30</f>
        <v>0</v>
      </c>
      <c r="C31" s="814">
        <f>C28-C30</f>
        <v>0</v>
      </c>
      <c r="D31" s="819"/>
      <c r="E31" s="820"/>
    </row>
    <row r="32" ht="9.75">
      <c r="F32" s="821">
        <f>IF(AND(C28=0,C30=0,D4="",D7="",D8="",D9="",D10="",D11="",D12="",D13="",D14="",D15="",D16="",D17="",D18="",D19="",D20="",D21="",D23="",D24="",D25="",D26="",D27="",D30=""),0,1)</f>
        <v>0</v>
      </c>
    </row>
    <row r="33" ht="9.75">
      <c r="A33" s="375" t="s">
        <v>187</v>
      </c>
    </row>
    <row r="44" ht="9.75">
      <c r="A44" s="822"/>
    </row>
  </sheetData>
  <sheetProtection password="EA98" sheet="1" formatColumns="0" selectLockedCells="1"/>
  <mergeCells count="4">
    <mergeCell ref="A1:D1"/>
    <mergeCell ref="A2:D2"/>
    <mergeCell ref="C4:C6"/>
    <mergeCell ref="D4:D6"/>
  </mergeCells>
  <dataValidations count="3">
    <dataValidation type="whole" allowBlank="1" showInputMessage="1" showErrorMessage="1" errorTitle="ERRORE NEL DATO IMMESSO" error="INSERIRE SOLO NUMERI INTERI" sqref="C30 C4:C6 C15:C16 C19 C22:C25 C27">
      <formula1>0</formula1>
      <formula2>99999999999999900000</formula2>
    </dataValidation>
    <dataValidation type="textLength" allowBlank="1" showInputMessage="1" showErrorMessage="1" errorTitle="ATTENZIONE ! ! !" error="E' stato superato il limite di 500 caratteri" sqref="D27 D30">
      <formula1>0</formula1>
      <formula2>500</formula2>
    </dataValidation>
    <dataValidation type="textLength" allowBlank="1" showInputMessage="1" showErrorMessage="1" errorTitle="ATTENZIONE ! ! ! " error="E' stato superato il limite di 500 caratteri" sqref="D4:D6 D15:D16 D19 D22:D25">
      <formula1>0</formula1>
      <formula2>500</formula2>
    </dataValidation>
  </dataValidations>
  <printOptions/>
  <pageMargins left="0.7" right="0.7" top="0.75" bottom="0.75" header="0.3" footer="0.3"/>
  <pageSetup horizontalDpi="600" verticalDpi="600" orientation="portrait" r:id="rId2"/>
  <drawing r:id="rId1"/>
</worksheet>
</file>

<file path=xl/worksheets/sheet24.xml><?xml version="1.0" encoding="utf-8"?>
<worksheet xmlns="http://schemas.openxmlformats.org/spreadsheetml/2006/main" xmlns:r="http://schemas.openxmlformats.org/officeDocument/2006/relationships">
  <sheetPr codeName="Foglio36">
    <tabColor rgb="FFCC0099"/>
  </sheetPr>
  <dimension ref="A1:Y25"/>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A4" sqref="A4"/>
    </sheetView>
  </sheetViews>
  <sheetFormatPr defaultColWidth="9.33203125" defaultRowHeight="10.5"/>
  <cols>
    <col min="1" max="1" width="52" style="5" customWidth="1"/>
    <col min="2" max="2" width="10" style="7" customWidth="1"/>
    <col min="3" max="5" width="10.83203125" style="7" customWidth="1"/>
    <col min="6" max="8" width="11.83203125" style="7" customWidth="1"/>
    <col min="9" max="15" width="13.83203125" style="7" customWidth="1"/>
    <col min="16" max="20" width="14.83203125" style="7" customWidth="1"/>
    <col min="21" max="21" width="9.33203125" style="112" customWidth="1"/>
  </cols>
  <sheetData>
    <row r="1" spans="1:24" s="5" customFormat="1" ht="43.5" customHeight="1">
      <c r="A1" s="1349" t="str">
        <f>'t1'!A1</f>
        <v>CNEL - anno 2018</v>
      </c>
      <c r="B1" s="1349"/>
      <c r="C1" s="1349"/>
      <c r="D1" s="1349"/>
      <c r="E1" s="1349"/>
      <c r="F1" s="1349"/>
      <c r="G1" s="1349"/>
      <c r="H1" s="1349"/>
      <c r="I1" s="1349"/>
      <c r="J1" s="354"/>
      <c r="K1" s="354"/>
      <c r="L1" s="354"/>
      <c r="M1" s="354"/>
      <c r="N1" s="354"/>
      <c r="O1" s="354"/>
      <c r="P1" s="354"/>
      <c r="Q1" s="354"/>
      <c r="R1" s="354"/>
      <c r="S1" s="354"/>
      <c r="T1" s="354"/>
      <c r="V1" s="3"/>
      <c r="X1"/>
    </row>
    <row r="2" spans="9:24" s="5" customFormat="1" ht="12.75" customHeight="1">
      <c r="I2" s="638"/>
      <c r="J2" s="638"/>
      <c r="K2" s="638"/>
      <c r="L2" s="638"/>
      <c r="M2" s="638"/>
      <c r="N2" s="638"/>
      <c r="O2" s="638"/>
      <c r="P2" s="638"/>
      <c r="Q2" s="638"/>
      <c r="R2" s="638"/>
      <c r="S2" s="638"/>
      <c r="T2" s="638"/>
      <c r="U2" s="322"/>
      <c r="V2" s="3"/>
      <c r="X2"/>
    </row>
    <row r="3" spans="1:4" s="5" customFormat="1" ht="21" customHeight="1">
      <c r="A3" s="200" t="s">
        <v>346</v>
      </c>
      <c r="B3" s="7"/>
      <c r="C3" s="7"/>
      <c r="D3" s="7"/>
    </row>
    <row r="4" spans="1:20" s="5" customFormat="1" ht="21" customHeight="1">
      <c r="A4" s="200"/>
      <c r="B4" s="7"/>
      <c r="C4" s="7"/>
      <c r="D4" s="7"/>
      <c r="F4" s="1436" t="s">
        <v>347</v>
      </c>
      <c r="G4" s="1437"/>
      <c r="H4" s="1438"/>
      <c r="I4" s="1436" t="s">
        <v>441</v>
      </c>
      <c r="J4" s="1437"/>
      <c r="K4" s="1437"/>
      <c r="L4" s="1437"/>
      <c r="M4" s="1437"/>
      <c r="N4" s="1437"/>
      <c r="O4" s="1438"/>
      <c r="P4" s="1436" t="s">
        <v>442</v>
      </c>
      <c r="Q4" s="1437"/>
      <c r="R4" s="1437"/>
      <c r="S4" s="1437"/>
      <c r="T4" s="1438"/>
    </row>
    <row r="5" spans="1:20" ht="58.5">
      <c r="A5" s="639" t="s">
        <v>238</v>
      </c>
      <c r="B5" s="640" t="s">
        <v>200</v>
      </c>
      <c r="C5" s="641" t="str">
        <f>"presenti al 31/12/"&amp;'t1'!L1&amp;" (tab.1)"</f>
        <v>presenti al 31/12/2018 (tab.1)</v>
      </c>
      <c r="D5" s="641" t="s">
        <v>13</v>
      </c>
      <c r="E5" s="642" t="s">
        <v>348</v>
      </c>
      <c r="F5" s="643" t="str">
        <f>'t11'!C4</f>
        <v>FERIE</v>
      </c>
      <c r="G5" s="643" t="s">
        <v>349</v>
      </c>
      <c r="H5" s="643" t="s">
        <v>350</v>
      </c>
      <c r="I5" s="643" t="s">
        <v>148</v>
      </c>
      <c r="J5" s="643" t="str">
        <f>'t12'!E4</f>
        <v>R.I.A.</v>
      </c>
      <c r="K5" s="643" t="str">
        <f>'t12'!F4</f>
        <v>PROGRESSIONE PER CLASSI E SCATTI/FASCE RETRIBUTIVE</v>
      </c>
      <c r="L5" s="643" t="str">
        <f>'t12'!G4</f>
        <v>TREDICESIMA MENSILTA'</v>
      </c>
      <c r="M5" s="644" t="s">
        <v>351</v>
      </c>
      <c r="N5" s="645" t="str">
        <f>'t12'!H4</f>
        <v>ARRETRATI  ANNI PRECEDENTI</v>
      </c>
      <c r="O5" s="645" t="str">
        <f>'t12'!I4</f>
        <v>RECUPERI DERIVANTI DA ASSENZE, RITARDI, ECC.</v>
      </c>
      <c r="P5" s="643" t="s">
        <v>311</v>
      </c>
      <c r="Q5" s="643" t="s">
        <v>352</v>
      </c>
      <c r="R5" s="643" t="s">
        <v>353</v>
      </c>
      <c r="S5" s="644" t="s">
        <v>354</v>
      </c>
      <c r="T5" s="645" t="str">
        <f>'t13'!O4</f>
        <v>ARRETRATI ANNI PRECEDENTI</v>
      </c>
    </row>
    <row r="6" spans="1:20" ht="9.75">
      <c r="A6" s="141" t="str">
        <f>'t1'!A6</f>
        <v>DIRIGENTE I FASCIA</v>
      </c>
      <c r="B6" s="324" t="str">
        <f>'t1'!B6</f>
        <v>0D0077</v>
      </c>
      <c r="C6" s="646">
        <f>'t1'!K6+'t1'!L6</f>
        <v>0</v>
      </c>
      <c r="D6" s="646">
        <f>('t1'!K6+'t1'!L6)-SUM('t3'!C6:F6,'t3'!I6:L6)+SUM('t3'!M6:P6)</f>
        <v>0</v>
      </c>
      <c r="E6" s="647">
        <f>'t12'!C6/12</f>
        <v>0</v>
      </c>
      <c r="F6" s="647" t="str">
        <f>IF($D6&gt;0,(('t11'!C8+'t11'!D8)/$D6)," ")</f>
        <v> </v>
      </c>
      <c r="G6" s="647" t="str">
        <f>IF($D6&gt;0,(SUM('t11'!E8:N8)/$D6)," ")</f>
        <v> </v>
      </c>
      <c r="H6" s="647" t="str">
        <f>IF($D6&gt;0,(SUM('t11'!O8:R8)/$D6)," ")</f>
        <v> </v>
      </c>
      <c r="I6" s="648" t="str">
        <f>IF($E6=0," ",('t12'!D6)/$E6)</f>
        <v> </v>
      </c>
      <c r="J6" s="648" t="str">
        <f>IF($E6=0," ",'t12'!E6/$E6)</f>
        <v> </v>
      </c>
      <c r="K6" s="648" t="str">
        <f>IF($E6=0," ",'t12'!F6/$E6)</f>
        <v> </v>
      </c>
      <c r="L6" s="648" t="str">
        <f>IF($E6=0," ",'t12'!G6/$E6)</f>
        <v> </v>
      </c>
      <c r="M6" s="649">
        <f>SUM(I6:L6)</f>
        <v>0</v>
      </c>
      <c r="N6" s="650" t="str">
        <f>IF($E6=0," ",'t12'!H6/$E6)</f>
        <v> </v>
      </c>
      <c r="O6" s="650" t="str">
        <f>IF($E6=0," ",'t12'!I6/$E6)</f>
        <v> </v>
      </c>
      <c r="P6" s="648" t="str">
        <f>IF($E6=0," ",'t13'!Q6/$E6)</f>
        <v> </v>
      </c>
      <c r="Q6" s="648" t="str">
        <f>IF($E6=0," ",SUM('t13'!C6:I6)/$E6)</f>
        <v> </v>
      </c>
      <c r="R6" s="648" t="str">
        <f>IF($E6=0," ",(SUM('t13'!K6:M6)+'t13'!P6)/$E6)</f>
        <v> </v>
      </c>
      <c r="S6" s="649">
        <f>SUM(P6:R6)</f>
        <v>0</v>
      </c>
      <c r="T6" s="650" t="str">
        <f>IF($E6=0," ",'t13'!O6/$E6)</f>
        <v> </v>
      </c>
    </row>
    <row r="7" spans="1:20" ht="9.75">
      <c r="A7" s="141" t="str">
        <f>'t1'!A7</f>
        <v>DIRIGENTE I FASCIA A TEMPO DETERM.</v>
      </c>
      <c r="B7" s="324" t="str">
        <f>'t1'!B7</f>
        <v>0D0078</v>
      </c>
      <c r="C7" s="646">
        <f>'t1'!K7+'t1'!L7</f>
        <v>0</v>
      </c>
      <c r="D7" s="646">
        <f>('t1'!K7+'t1'!L7)-SUM('t3'!C7:F7,'t3'!I7:L7)+SUM('t3'!M7:P7)</f>
        <v>0</v>
      </c>
      <c r="E7" s="647">
        <f>'t12'!C7/12</f>
        <v>0</v>
      </c>
      <c r="F7" s="647" t="str">
        <f>IF($D7&gt;0,(('t11'!C9+'t11'!D9)/$D7)," ")</f>
        <v> </v>
      </c>
      <c r="G7" s="647" t="str">
        <f>IF($D7&gt;0,(SUM('t11'!E9:N9)/$D7)," ")</f>
        <v> </v>
      </c>
      <c r="H7" s="647" t="str">
        <f>IF($D7&gt;0,(SUM('t11'!O9:R9)/$D7)," ")</f>
        <v> </v>
      </c>
      <c r="I7" s="648" t="str">
        <f>IF($E7=0," ",('t12'!D7)/$E7)</f>
        <v> </v>
      </c>
      <c r="J7" s="648" t="str">
        <f>IF($E7=0," ",'t12'!E7/$E7)</f>
        <v> </v>
      </c>
      <c r="K7" s="648" t="str">
        <f>IF($E7=0," ",'t12'!F7/$E7)</f>
        <v> </v>
      </c>
      <c r="L7" s="648" t="str">
        <f>IF($E7=0," ",'t12'!G7/$E7)</f>
        <v> </v>
      </c>
      <c r="M7" s="649">
        <f aca="true" t="shared" si="0" ref="M7:M22">SUM(I7:L7)</f>
        <v>0</v>
      </c>
      <c r="N7" s="650" t="str">
        <f>IF($E7=0," ",'t12'!H7/$E7)</f>
        <v> </v>
      </c>
      <c r="O7" s="650" t="str">
        <f>IF($E7=0," ",'t12'!I7/$E7)</f>
        <v> </v>
      </c>
      <c r="P7" s="648" t="str">
        <f>IF($E7=0," ",'t13'!Q7/$E7)</f>
        <v> </v>
      </c>
      <c r="Q7" s="648" t="str">
        <f>IF($E7=0," ",SUM('t13'!C7:I7)/$E7)</f>
        <v> </v>
      </c>
      <c r="R7" s="648" t="str">
        <f>IF($E7=0," ",(SUM('t13'!K7:M7)+'t13'!P7)/$E7)</f>
        <v> </v>
      </c>
      <c r="S7" s="649">
        <f aca="true" t="shared" si="1" ref="S7:S22">SUM(P7:R7)</f>
        <v>0</v>
      </c>
      <c r="T7" s="650" t="str">
        <f>IF($E7=0," ",'t13'!O7/$E7)</f>
        <v> </v>
      </c>
    </row>
    <row r="8" spans="1:20" ht="9.75">
      <c r="A8" s="141" t="str">
        <f>'t1'!A8</f>
        <v>DIRIGENTE II FASCIA</v>
      </c>
      <c r="B8" s="324" t="str">
        <f>'t1'!B8</f>
        <v>0D0079</v>
      </c>
      <c r="C8" s="646">
        <f>'t1'!K8+'t1'!L8</f>
        <v>0</v>
      </c>
      <c r="D8" s="646">
        <f>('t1'!K8+'t1'!L8)-SUM('t3'!C8:F8,'t3'!I8:L8)+SUM('t3'!M8:P8)</f>
        <v>0</v>
      </c>
      <c r="E8" s="647">
        <f>'t12'!C8/12</f>
        <v>0</v>
      </c>
      <c r="F8" s="647" t="str">
        <f>IF($D8&gt;0,(('t11'!C10+'t11'!D10)/$D8)," ")</f>
        <v> </v>
      </c>
      <c r="G8" s="647" t="str">
        <f>IF($D8&gt;0,(SUM('t11'!E10:N10)/$D8)," ")</f>
        <v> </v>
      </c>
      <c r="H8" s="647" t="str">
        <f>IF($D8&gt;0,(SUM('t11'!O10:R10)/$D8)," ")</f>
        <v> </v>
      </c>
      <c r="I8" s="648" t="str">
        <f>IF($E8=0," ",('t12'!D8)/$E8)</f>
        <v> </v>
      </c>
      <c r="J8" s="648" t="str">
        <f>IF($E8=0," ",'t12'!E8/$E8)</f>
        <v> </v>
      </c>
      <c r="K8" s="648" t="str">
        <f>IF($E8=0," ",'t12'!F8/$E8)</f>
        <v> </v>
      </c>
      <c r="L8" s="648" t="str">
        <f>IF($E8=0," ",'t12'!G8/$E8)</f>
        <v> </v>
      </c>
      <c r="M8" s="649">
        <f t="shared" si="0"/>
        <v>0</v>
      </c>
      <c r="N8" s="650" t="str">
        <f>IF($E8=0," ",'t12'!H8/$E8)</f>
        <v> </v>
      </c>
      <c r="O8" s="650" t="str">
        <f>IF($E8=0," ",'t12'!I8/$E8)</f>
        <v> </v>
      </c>
      <c r="P8" s="648" t="str">
        <f>IF($E8=0," ",'t13'!Q8/$E8)</f>
        <v> </v>
      </c>
      <c r="Q8" s="648" t="str">
        <f>IF($E8=0," ",SUM('t13'!C8:I8)/$E8)</f>
        <v> </v>
      </c>
      <c r="R8" s="648" t="str">
        <f>IF($E8=0," ",(SUM('t13'!K8:M8)+'t13'!P8)/$E8)</f>
        <v> </v>
      </c>
      <c r="S8" s="649">
        <f t="shared" si="1"/>
        <v>0</v>
      </c>
      <c r="T8" s="650" t="str">
        <f>IF($E8=0," ",'t13'!O8/$E8)</f>
        <v> </v>
      </c>
    </row>
    <row r="9" spans="1:20" ht="9.75">
      <c r="A9" s="141" t="str">
        <f>'t1'!A9</f>
        <v>DIRIGENTE II FASCIA A TEMPO DETERM.</v>
      </c>
      <c r="B9" s="324" t="str">
        <f>'t1'!B9</f>
        <v>0D0080</v>
      </c>
      <c r="C9" s="646">
        <f>'t1'!K9+'t1'!L9</f>
        <v>0</v>
      </c>
      <c r="D9" s="646">
        <f>('t1'!K9+'t1'!L9)-SUM('t3'!C9:F9,'t3'!I9:L9)+SUM('t3'!M9:P9)</f>
        <v>0</v>
      </c>
      <c r="E9" s="647">
        <f>'t12'!C9/12</f>
        <v>0</v>
      </c>
      <c r="F9" s="647" t="str">
        <f>IF($D9&gt;0,(('t11'!C11+'t11'!D11)/$D9)," ")</f>
        <v> </v>
      </c>
      <c r="G9" s="647" t="str">
        <f>IF($D9&gt;0,(SUM('t11'!E11:N11)/$D9)," ")</f>
        <v> </v>
      </c>
      <c r="H9" s="647" t="str">
        <f>IF($D9&gt;0,(SUM('t11'!O11:R11)/$D9)," ")</f>
        <v> </v>
      </c>
      <c r="I9" s="648" t="str">
        <f>IF($E9=0," ",('t12'!D9)/$E9)</f>
        <v> </v>
      </c>
      <c r="J9" s="648" t="str">
        <f>IF($E9=0," ",'t12'!E9/$E9)</f>
        <v> </v>
      </c>
      <c r="K9" s="648" t="str">
        <f>IF($E9=0," ",'t12'!F9/$E9)</f>
        <v> </v>
      </c>
      <c r="L9" s="648" t="str">
        <f>IF($E9=0," ",'t12'!G9/$E9)</f>
        <v> </v>
      </c>
      <c r="M9" s="649">
        <f t="shared" si="0"/>
        <v>0</v>
      </c>
      <c r="N9" s="650" t="str">
        <f>IF($E9=0," ",'t12'!H9/$E9)</f>
        <v> </v>
      </c>
      <c r="O9" s="650" t="str">
        <f>IF($E9=0," ",'t12'!I9/$E9)</f>
        <v> </v>
      </c>
      <c r="P9" s="648" t="str">
        <f>IF($E9=0," ",'t13'!Q9/$E9)</f>
        <v> </v>
      </c>
      <c r="Q9" s="648" t="str">
        <f>IF($E9=0," ",SUM('t13'!C9:I9)/$E9)</f>
        <v> </v>
      </c>
      <c r="R9" s="648" t="str">
        <f>IF($E9=0," ",(SUM('t13'!K9:M9)+'t13'!P9)/$E9)</f>
        <v> </v>
      </c>
      <c r="S9" s="649">
        <f t="shared" si="1"/>
        <v>0</v>
      </c>
      <c r="T9" s="650" t="str">
        <f>IF($E9=0," ",'t13'!O9/$E9)</f>
        <v> </v>
      </c>
    </row>
    <row r="10" spans="1:20" ht="9.75">
      <c r="A10" s="141" t="str">
        <f>'t1'!A10</f>
        <v>POSIZIONE ECONOMICA C5</v>
      </c>
      <c r="B10" s="324" t="str">
        <f>'t1'!B10</f>
        <v>046000</v>
      </c>
      <c r="C10" s="646">
        <f>'t1'!K10+'t1'!L10</f>
        <v>0</v>
      </c>
      <c r="D10" s="646">
        <f>('t1'!K10+'t1'!L10)-SUM('t3'!C10:F10,'t3'!I10:L10)+SUM('t3'!M10:P10)</f>
        <v>0</v>
      </c>
      <c r="E10" s="647">
        <f>'t12'!C10/12</f>
        <v>0</v>
      </c>
      <c r="F10" s="647" t="str">
        <f>IF($D10&gt;0,(('t11'!C12+'t11'!D12)/$D10)," ")</f>
        <v> </v>
      </c>
      <c r="G10" s="647" t="str">
        <f>IF($D10&gt;0,(SUM('t11'!E12:N12)/$D10)," ")</f>
        <v> </v>
      </c>
      <c r="H10" s="647" t="str">
        <f>IF($D10&gt;0,(SUM('t11'!O12:R12)/$D10)," ")</f>
        <v> </v>
      </c>
      <c r="I10" s="648" t="str">
        <f>IF($E10=0," ",('t12'!D10)/$E10)</f>
        <v> </v>
      </c>
      <c r="J10" s="648" t="str">
        <f>IF($E10=0," ",'t12'!E10/$E10)</f>
        <v> </v>
      </c>
      <c r="K10" s="648" t="str">
        <f>IF($E10=0," ",'t12'!F10/$E10)</f>
        <v> </v>
      </c>
      <c r="L10" s="648" t="str">
        <f>IF($E10=0," ",'t12'!G10/$E10)</f>
        <v> </v>
      </c>
      <c r="M10" s="649">
        <f t="shared" si="0"/>
        <v>0</v>
      </c>
      <c r="N10" s="650" t="str">
        <f>IF($E10=0," ",'t12'!H10/$E10)</f>
        <v> </v>
      </c>
      <c r="O10" s="650" t="str">
        <f>IF($E10=0," ",'t12'!I10/$E10)</f>
        <v> </v>
      </c>
      <c r="P10" s="648" t="str">
        <f>IF($E10=0," ",'t13'!Q10/$E10)</f>
        <v> </v>
      </c>
      <c r="Q10" s="648" t="str">
        <f>IF($E10=0," ",SUM('t13'!C10:I10)/$E10)</f>
        <v> </v>
      </c>
      <c r="R10" s="648" t="str">
        <f>IF($E10=0," ",(SUM('t13'!K10:M10)+'t13'!P10)/$E10)</f>
        <v> </v>
      </c>
      <c r="S10" s="649">
        <f t="shared" si="1"/>
        <v>0</v>
      </c>
      <c r="T10" s="650" t="str">
        <f>IF($E10=0," ",'t13'!O10/$E10)</f>
        <v> </v>
      </c>
    </row>
    <row r="11" spans="1:20" ht="9.75">
      <c r="A11" s="141" t="str">
        <f>'t1'!A11</f>
        <v>POSIZIONE ECONOMICA C4</v>
      </c>
      <c r="B11" s="324" t="str">
        <f>'t1'!B11</f>
        <v>045000</v>
      </c>
      <c r="C11" s="646">
        <f>'t1'!K11+'t1'!L11</f>
        <v>0</v>
      </c>
      <c r="D11" s="646">
        <f>('t1'!K11+'t1'!L11)-SUM('t3'!C11:F11,'t3'!I11:L11)+SUM('t3'!M11:P11)</f>
        <v>0</v>
      </c>
      <c r="E11" s="647">
        <f>'t12'!C11/12</f>
        <v>0</v>
      </c>
      <c r="F11" s="647" t="str">
        <f>IF($D11&gt;0,(('t11'!C13+'t11'!D13)/$D11)," ")</f>
        <v> </v>
      </c>
      <c r="G11" s="647" t="str">
        <f>IF($D11&gt;0,(SUM('t11'!E13:N13)/$D11)," ")</f>
        <v> </v>
      </c>
      <c r="H11" s="647" t="str">
        <f>IF($D11&gt;0,(SUM('t11'!O13:R13)/$D11)," ")</f>
        <v> </v>
      </c>
      <c r="I11" s="648" t="str">
        <f>IF($E11=0," ",('t12'!D11)/$E11)</f>
        <v> </v>
      </c>
      <c r="J11" s="648" t="str">
        <f>IF($E11=0," ",'t12'!E11/$E11)</f>
        <v> </v>
      </c>
      <c r="K11" s="648" t="str">
        <f>IF($E11=0," ",'t12'!F11/$E11)</f>
        <v> </v>
      </c>
      <c r="L11" s="648" t="str">
        <f>IF($E11=0," ",'t12'!G11/$E11)</f>
        <v> </v>
      </c>
      <c r="M11" s="649">
        <f t="shared" si="0"/>
        <v>0</v>
      </c>
      <c r="N11" s="650" t="str">
        <f>IF($E11=0," ",'t12'!H11/$E11)</f>
        <v> </v>
      </c>
      <c r="O11" s="650" t="str">
        <f>IF($E11=0," ",'t12'!I11/$E11)</f>
        <v> </v>
      </c>
      <c r="P11" s="648" t="str">
        <f>IF($E11=0," ",'t13'!Q11/$E11)</f>
        <v> </v>
      </c>
      <c r="Q11" s="648" t="str">
        <f>IF($E11=0," ",SUM('t13'!C11:I11)/$E11)</f>
        <v> </v>
      </c>
      <c r="R11" s="648" t="str">
        <f>IF($E11=0," ",(SUM('t13'!K11:M11)+'t13'!P11)/$E11)</f>
        <v> </v>
      </c>
      <c r="S11" s="649">
        <f t="shared" si="1"/>
        <v>0</v>
      </c>
      <c r="T11" s="650" t="str">
        <f>IF($E11=0," ",'t13'!O11/$E11)</f>
        <v> </v>
      </c>
    </row>
    <row r="12" spans="1:20" ht="9.75">
      <c r="A12" s="141" t="str">
        <f>'t1'!A12</f>
        <v>POSIZIONE ECONOMICA C3</v>
      </c>
      <c r="B12" s="324" t="str">
        <f>'t1'!B12</f>
        <v>043000</v>
      </c>
      <c r="C12" s="646">
        <f>'t1'!K12+'t1'!L12</f>
        <v>0</v>
      </c>
      <c r="D12" s="646">
        <f>('t1'!K12+'t1'!L12)-SUM('t3'!C12:F12,'t3'!I12:L12)+SUM('t3'!M12:P12)</f>
        <v>0</v>
      </c>
      <c r="E12" s="647">
        <f>'t12'!C12/12</f>
        <v>0</v>
      </c>
      <c r="F12" s="647" t="str">
        <f>IF($D12&gt;0,(('t11'!C14+'t11'!D14)/$D12)," ")</f>
        <v> </v>
      </c>
      <c r="G12" s="647" t="str">
        <f>IF($D12&gt;0,(SUM('t11'!E14:N14)/$D12)," ")</f>
        <v> </v>
      </c>
      <c r="H12" s="647" t="str">
        <f>IF($D12&gt;0,(SUM('t11'!O14:R14)/$D12)," ")</f>
        <v> </v>
      </c>
      <c r="I12" s="648" t="str">
        <f>IF($E12=0," ",('t12'!D12)/$E12)</f>
        <v> </v>
      </c>
      <c r="J12" s="648" t="str">
        <f>IF($E12=0," ",'t12'!E12/$E12)</f>
        <v> </v>
      </c>
      <c r="K12" s="648" t="str">
        <f>IF($E12=0," ",'t12'!F12/$E12)</f>
        <v> </v>
      </c>
      <c r="L12" s="648" t="str">
        <f>IF($E12=0," ",'t12'!G12/$E12)</f>
        <v> </v>
      </c>
      <c r="M12" s="649">
        <f t="shared" si="0"/>
        <v>0</v>
      </c>
      <c r="N12" s="650" t="str">
        <f>IF($E12=0," ",'t12'!H12/$E12)</f>
        <v> </v>
      </c>
      <c r="O12" s="650" t="str">
        <f>IF($E12=0," ",'t12'!I12/$E12)</f>
        <v> </v>
      </c>
      <c r="P12" s="648" t="str">
        <f>IF($E12=0," ",'t13'!Q12/$E12)</f>
        <v> </v>
      </c>
      <c r="Q12" s="648" t="str">
        <f>IF($E12=0," ",SUM('t13'!C12:I12)/$E12)</f>
        <v> </v>
      </c>
      <c r="R12" s="648" t="str">
        <f>IF($E12=0," ",(SUM('t13'!K12:M12)+'t13'!P12)/$E12)</f>
        <v> </v>
      </c>
      <c r="S12" s="649">
        <f t="shared" si="1"/>
        <v>0</v>
      </c>
      <c r="T12" s="650" t="str">
        <f>IF($E12=0," ",'t13'!O12/$E12)</f>
        <v> </v>
      </c>
    </row>
    <row r="13" spans="1:20" ht="9.75">
      <c r="A13" s="141" t="str">
        <f>'t1'!A13</f>
        <v>POSIZIONE ECONOMICA C2</v>
      </c>
      <c r="B13" s="324" t="str">
        <f>'t1'!B13</f>
        <v>042000</v>
      </c>
      <c r="C13" s="646">
        <f>'t1'!K13+'t1'!L13</f>
        <v>0</v>
      </c>
      <c r="D13" s="646">
        <f>('t1'!K13+'t1'!L13)-SUM('t3'!C13:F13,'t3'!I13:L13)+SUM('t3'!M13:P13)</f>
        <v>0</v>
      </c>
      <c r="E13" s="647">
        <f>'t12'!C13/12</f>
        <v>0</v>
      </c>
      <c r="F13" s="647" t="str">
        <f>IF($D13&gt;0,(('t11'!C15+'t11'!D15)/$D13)," ")</f>
        <v> </v>
      </c>
      <c r="G13" s="647" t="str">
        <f>IF($D13&gt;0,(SUM('t11'!E15:N15)/$D13)," ")</f>
        <v> </v>
      </c>
      <c r="H13" s="647" t="str">
        <f>IF($D13&gt;0,(SUM('t11'!O15:R15)/$D13)," ")</f>
        <v> </v>
      </c>
      <c r="I13" s="648" t="str">
        <f>IF($E13=0," ",('t12'!D13)/$E13)</f>
        <v> </v>
      </c>
      <c r="J13" s="648" t="str">
        <f>IF($E13=0," ",'t12'!E13/$E13)</f>
        <v> </v>
      </c>
      <c r="K13" s="648" t="str">
        <f>IF($E13=0," ",'t12'!F13/$E13)</f>
        <v> </v>
      </c>
      <c r="L13" s="648" t="str">
        <f>IF($E13=0," ",'t12'!G13/$E13)</f>
        <v> </v>
      </c>
      <c r="M13" s="649">
        <f t="shared" si="0"/>
        <v>0</v>
      </c>
      <c r="N13" s="650" t="str">
        <f>IF($E13=0," ",'t12'!H13/$E13)</f>
        <v> </v>
      </c>
      <c r="O13" s="650" t="str">
        <f>IF($E13=0," ",'t12'!I13/$E13)</f>
        <v> </v>
      </c>
      <c r="P13" s="648" t="str">
        <f>IF($E13=0," ",'t13'!Q13/$E13)</f>
        <v> </v>
      </c>
      <c r="Q13" s="648" t="str">
        <f>IF($E13=0," ",SUM('t13'!C13:I13)/$E13)</f>
        <v> </v>
      </c>
      <c r="R13" s="648" t="str">
        <f>IF($E13=0," ",(SUM('t13'!K13:M13)+'t13'!P13)/$E13)</f>
        <v> </v>
      </c>
      <c r="S13" s="649">
        <f t="shared" si="1"/>
        <v>0</v>
      </c>
      <c r="T13" s="650" t="str">
        <f>IF($E13=0," ",'t13'!O13/$E13)</f>
        <v> </v>
      </c>
    </row>
    <row r="14" spans="1:20" ht="9.75">
      <c r="A14" s="141" t="str">
        <f>'t1'!A14</f>
        <v>POSIZIONE ECONOMICA C1</v>
      </c>
      <c r="B14" s="324" t="str">
        <f>'t1'!B14</f>
        <v>040000</v>
      </c>
      <c r="C14" s="646">
        <f>'t1'!K14+'t1'!L14</f>
        <v>0</v>
      </c>
      <c r="D14" s="646">
        <f>('t1'!K14+'t1'!L14)-SUM('t3'!C14:F14,'t3'!I14:L14)+SUM('t3'!M14:P14)</f>
        <v>0</v>
      </c>
      <c r="E14" s="647">
        <f>'t12'!C14/12</f>
        <v>0</v>
      </c>
      <c r="F14" s="647" t="str">
        <f>IF($D14&gt;0,(('t11'!C16+'t11'!D16)/$D14)," ")</f>
        <v> </v>
      </c>
      <c r="G14" s="647" t="str">
        <f>IF($D14&gt;0,(SUM('t11'!E16:N16)/$D14)," ")</f>
        <v> </v>
      </c>
      <c r="H14" s="647" t="str">
        <f>IF($D14&gt;0,(SUM('t11'!O16:R16)/$D14)," ")</f>
        <v> </v>
      </c>
      <c r="I14" s="648" t="str">
        <f>IF($E14=0," ",('t12'!D14)/$E14)</f>
        <v> </v>
      </c>
      <c r="J14" s="648" t="str">
        <f>IF($E14=0," ",'t12'!E14/$E14)</f>
        <v> </v>
      </c>
      <c r="K14" s="648" t="str">
        <f>IF($E14=0," ",'t12'!F14/$E14)</f>
        <v> </v>
      </c>
      <c r="L14" s="648" t="str">
        <f>IF($E14=0," ",'t12'!G14/$E14)</f>
        <v> </v>
      </c>
      <c r="M14" s="649">
        <f t="shared" si="0"/>
        <v>0</v>
      </c>
      <c r="N14" s="650" t="str">
        <f>IF($E14=0," ",'t12'!H14/$E14)</f>
        <v> </v>
      </c>
      <c r="O14" s="650" t="str">
        <f>IF($E14=0," ",'t12'!I14/$E14)</f>
        <v> </v>
      </c>
      <c r="P14" s="648" t="str">
        <f>IF($E14=0," ",'t13'!Q14/$E14)</f>
        <v> </v>
      </c>
      <c r="Q14" s="648" t="str">
        <f>IF($E14=0," ",SUM('t13'!C14:I14)/$E14)</f>
        <v> </v>
      </c>
      <c r="R14" s="648" t="str">
        <f>IF($E14=0," ",(SUM('t13'!K14:M14)+'t13'!P14)/$E14)</f>
        <v> </v>
      </c>
      <c r="S14" s="649">
        <f t="shared" si="1"/>
        <v>0</v>
      </c>
      <c r="T14" s="650" t="str">
        <f>IF($E14=0," ",'t13'!O14/$E14)</f>
        <v> </v>
      </c>
    </row>
    <row r="15" spans="1:20" ht="9.75">
      <c r="A15" s="141" t="str">
        <f>'t1'!A15</f>
        <v>POSIZIONE ECONOMICA B4</v>
      </c>
      <c r="B15" s="324" t="str">
        <f>'t1'!B15</f>
        <v>036000</v>
      </c>
      <c r="C15" s="646">
        <f>'t1'!K15+'t1'!L15</f>
        <v>0</v>
      </c>
      <c r="D15" s="646">
        <f>('t1'!K15+'t1'!L15)-SUM('t3'!C15:F15,'t3'!I15:L15)+SUM('t3'!M15:P15)</f>
        <v>0</v>
      </c>
      <c r="E15" s="647">
        <f>'t12'!C15/12</f>
        <v>0</v>
      </c>
      <c r="F15" s="647" t="str">
        <f>IF($D15&gt;0,(('t11'!C17+'t11'!D17)/$D15)," ")</f>
        <v> </v>
      </c>
      <c r="G15" s="647" t="str">
        <f>IF($D15&gt;0,(SUM('t11'!E17:N17)/$D15)," ")</f>
        <v> </v>
      </c>
      <c r="H15" s="647" t="str">
        <f>IF($D15&gt;0,(SUM('t11'!O17:R17)/$D15)," ")</f>
        <v> </v>
      </c>
      <c r="I15" s="648" t="str">
        <f>IF($E15=0," ",('t12'!D15)/$E15)</f>
        <v> </v>
      </c>
      <c r="J15" s="648" t="str">
        <f>IF($E15=0," ",'t12'!E15/$E15)</f>
        <v> </v>
      </c>
      <c r="K15" s="648" t="str">
        <f>IF($E15=0," ",'t12'!F15/$E15)</f>
        <v> </v>
      </c>
      <c r="L15" s="648" t="str">
        <f>IF($E15=0," ",'t12'!G15/$E15)</f>
        <v> </v>
      </c>
      <c r="M15" s="649">
        <f t="shared" si="0"/>
        <v>0</v>
      </c>
      <c r="N15" s="650" t="str">
        <f>IF($E15=0," ",'t12'!H15/$E15)</f>
        <v> </v>
      </c>
      <c r="O15" s="650" t="str">
        <f>IF($E15=0," ",'t12'!I15/$E15)</f>
        <v> </v>
      </c>
      <c r="P15" s="648" t="str">
        <f>IF($E15=0," ",'t13'!Q15/$E15)</f>
        <v> </v>
      </c>
      <c r="Q15" s="648" t="str">
        <f>IF($E15=0," ",SUM('t13'!C15:I15)/$E15)</f>
        <v> </v>
      </c>
      <c r="R15" s="648" t="str">
        <f>IF($E15=0," ",(SUM('t13'!K15:M15)+'t13'!P15)/$E15)</f>
        <v> </v>
      </c>
      <c r="S15" s="649">
        <f t="shared" si="1"/>
        <v>0</v>
      </c>
      <c r="T15" s="650" t="str">
        <f>IF($E15=0," ",'t13'!O15/$E15)</f>
        <v> </v>
      </c>
    </row>
    <row r="16" spans="1:20" ht="9.75">
      <c r="A16" s="141" t="str">
        <f>'t1'!A16</f>
        <v>POSIZIONE ECONOMICA B3</v>
      </c>
      <c r="B16" s="324" t="str">
        <f>'t1'!B16</f>
        <v>034000</v>
      </c>
      <c r="C16" s="646">
        <f>'t1'!K16+'t1'!L16</f>
        <v>0</v>
      </c>
      <c r="D16" s="646">
        <f>('t1'!K16+'t1'!L16)-SUM('t3'!C16:F16,'t3'!I16:L16)+SUM('t3'!M16:P16)</f>
        <v>0</v>
      </c>
      <c r="E16" s="647">
        <f>'t12'!C16/12</f>
        <v>0</v>
      </c>
      <c r="F16" s="647" t="str">
        <f>IF($D16&gt;0,(('t11'!C18+'t11'!D18)/$D16)," ")</f>
        <v> </v>
      </c>
      <c r="G16" s="647" t="str">
        <f>IF($D16&gt;0,(SUM('t11'!E18:N18)/$D16)," ")</f>
        <v> </v>
      </c>
      <c r="H16" s="647" t="str">
        <f>IF($D16&gt;0,(SUM('t11'!O18:R18)/$D16)," ")</f>
        <v> </v>
      </c>
      <c r="I16" s="648" t="str">
        <f>IF($E16=0," ",('t12'!D16)/$E16)</f>
        <v> </v>
      </c>
      <c r="J16" s="648" t="str">
        <f>IF($E16=0," ",'t12'!E16/$E16)</f>
        <v> </v>
      </c>
      <c r="K16" s="648" t="str">
        <f>IF($E16=0," ",'t12'!F16/$E16)</f>
        <v> </v>
      </c>
      <c r="L16" s="648" t="str">
        <f>IF($E16=0," ",'t12'!G16/$E16)</f>
        <v> </v>
      </c>
      <c r="M16" s="649">
        <f t="shared" si="0"/>
        <v>0</v>
      </c>
      <c r="N16" s="650" t="str">
        <f>IF($E16=0," ",'t12'!H16/$E16)</f>
        <v> </v>
      </c>
      <c r="O16" s="650" t="str">
        <f>IF($E16=0," ",'t12'!I16/$E16)</f>
        <v> </v>
      </c>
      <c r="P16" s="648" t="str">
        <f>IF($E16=0," ",'t13'!Q16/$E16)</f>
        <v> </v>
      </c>
      <c r="Q16" s="648" t="str">
        <f>IF($E16=0," ",SUM('t13'!C16:I16)/$E16)</f>
        <v> </v>
      </c>
      <c r="R16" s="648" t="str">
        <f>IF($E16=0," ",(SUM('t13'!K16:M16)+'t13'!P16)/$E16)</f>
        <v> </v>
      </c>
      <c r="S16" s="649">
        <f t="shared" si="1"/>
        <v>0</v>
      </c>
      <c r="T16" s="650" t="str">
        <f>IF($E16=0," ",'t13'!O16/$E16)</f>
        <v> </v>
      </c>
    </row>
    <row r="17" spans="1:25" s="112" customFormat="1" ht="9.75">
      <c r="A17" s="141" t="str">
        <f>'t1'!A17</f>
        <v>POSIZIONE ECONOMICA B2</v>
      </c>
      <c r="B17" s="324" t="str">
        <f>'t1'!B17</f>
        <v>032000</v>
      </c>
      <c r="C17" s="646">
        <f>'t1'!K17+'t1'!L17</f>
        <v>0</v>
      </c>
      <c r="D17" s="646">
        <f>('t1'!K17+'t1'!L17)-SUM('t3'!C17:F17,'t3'!I17:L17)+SUM('t3'!M17:P17)</f>
        <v>0</v>
      </c>
      <c r="E17" s="647">
        <f>'t12'!C17/12</f>
        <v>0</v>
      </c>
      <c r="F17" s="647" t="str">
        <f>IF($D17&gt;0,(('t11'!C19+'t11'!D19)/$D17)," ")</f>
        <v> </v>
      </c>
      <c r="G17" s="647" t="str">
        <f>IF($D17&gt;0,(SUM('t11'!E19:N19)/$D17)," ")</f>
        <v> </v>
      </c>
      <c r="H17" s="647" t="str">
        <f>IF($D17&gt;0,(SUM('t11'!O19:R19)/$D17)," ")</f>
        <v> </v>
      </c>
      <c r="I17" s="648" t="str">
        <f>IF($E17=0," ",('t12'!D17)/$E17)</f>
        <v> </v>
      </c>
      <c r="J17" s="648" t="str">
        <f>IF($E17=0," ",'t12'!E17/$E17)</f>
        <v> </v>
      </c>
      <c r="K17" s="648" t="str">
        <f>IF($E17=0," ",'t12'!F17/$E17)</f>
        <v> </v>
      </c>
      <c r="L17" s="648" t="str">
        <f>IF($E17=0," ",'t12'!G17/$E17)</f>
        <v> </v>
      </c>
      <c r="M17" s="649">
        <f t="shared" si="0"/>
        <v>0</v>
      </c>
      <c r="N17" s="650" t="str">
        <f>IF($E17=0," ",'t12'!H17/$E17)</f>
        <v> </v>
      </c>
      <c r="O17" s="650" t="str">
        <f>IF($E17=0," ",'t12'!I17/$E17)</f>
        <v> </v>
      </c>
      <c r="P17" s="648" t="str">
        <f>IF($E17=0," ",'t13'!Q17/$E17)</f>
        <v> </v>
      </c>
      <c r="Q17" s="648" t="str">
        <f>IF($E17=0," ",SUM('t13'!C17:I17)/$E17)</f>
        <v> </v>
      </c>
      <c r="R17" s="648" t="str">
        <f>IF($E17=0," ",(SUM('t13'!K17:M17)+'t13'!P17)/$E17)</f>
        <v> </v>
      </c>
      <c r="S17" s="649">
        <f t="shared" si="1"/>
        <v>0</v>
      </c>
      <c r="T17" s="650" t="str">
        <f>IF($E17=0," ",'t13'!O17/$E17)</f>
        <v> </v>
      </c>
      <c r="V17"/>
      <c r="W17"/>
      <c r="X17"/>
      <c r="Y17"/>
    </row>
    <row r="18" spans="1:25" s="112" customFormat="1" ht="9.75">
      <c r="A18" s="141" t="str">
        <f>'t1'!A18</f>
        <v>POSIZIONE ECONOMICA B1</v>
      </c>
      <c r="B18" s="324" t="str">
        <f>'t1'!B18</f>
        <v>030000</v>
      </c>
      <c r="C18" s="646">
        <f>'t1'!K18+'t1'!L18</f>
        <v>0</v>
      </c>
      <c r="D18" s="646">
        <f>('t1'!K18+'t1'!L18)-SUM('t3'!C18:F18,'t3'!I18:L18)+SUM('t3'!M18:P18)</f>
        <v>0</v>
      </c>
      <c r="E18" s="647">
        <f>'t12'!C18/12</f>
        <v>0</v>
      </c>
      <c r="F18" s="647" t="str">
        <f>IF($D18&gt;0,(('t11'!C20+'t11'!D20)/$D18)," ")</f>
        <v> </v>
      </c>
      <c r="G18" s="647" t="str">
        <f>IF($D18&gt;0,(SUM('t11'!E20:N20)/$D18)," ")</f>
        <v> </v>
      </c>
      <c r="H18" s="647" t="str">
        <f>IF($D18&gt;0,(SUM('t11'!O20:R20)/$D18)," ")</f>
        <v> </v>
      </c>
      <c r="I18" s="648" t="str">
        <f>IF($E18=0," ",('t12'!D18)/$E18)</f>
        <v> </v>
      </c>
      <c r="J18" s="648" t="str">
        <f>IF($E18=0," ",'t12'!E18/$E18)</f>
        <v> </v>
      </c>
      <c r="K18" s="648" t="str">
        <f>IF($E18=0," ",'t12'!F18/$E18)</f>
        <v> </v>
      </c>
      <c r="L18" s="648" t="str">
        <f>IF($E18=0," ",'t12'!G18/$E18)</f>
        <v> </v>
      </c>
      <c r="M18" s="649">
        <f t="shared" si="0"/>
        <v>0</v>
      </c>
      <c r="N18" s="650" t="str">
        <f>IF($E18=0," ",'t12'!H18/$E18)</f>
        <v> </v>
      </c>
      <c r="O18" s="650" t="str">
        <f>IF($E18=0," ",'t12'!I18/$E18)</f>
        <v> </v>
      </c>
      <c r="P18" s="648" t="str">
        <f>IF($E18=0," ",'t13'!Q18/$E18)</f>
        <v> </v>
      </c>
      <c r="Q18" s="648" t="str">
        <f>IF($E18=0," ",SUM('t13'!C18:I18)/$E18)</f>
        <v> </v>
      </c>
      <c r="R18" s="648" t="str">
        <f>IF($E18=0," ",(SUM('t13'!K18:M18)+'t13'!P18)/$E18)</f>
        <v> </v>
      </c>
      <c r="S18" s="649">
        <f t="shared" si="1"/>
        <v>0</v>
      </c>
      <c r="T18" s="650" t="str">
        <f>IF($E18=0," ",'t13'!O18/$E18)</f>
        <v> </v>
      </c>
      <c r="V18"/>
      <c r="W18"/>
      <c r="X18"/>
      <c r="Y18"/>
    </row>
    <row r="19" spans="1:25" s="112" customFormat="1" ht="9.75">
      <c r="A19" s="141" t="str">
        <f>'t1'!A19</f>
        <v>POSIZIONE ECONOMICA A3</v>
      </c>
      <c r="B19" s="324" t="str">
        <f>'t1'!B19</f>
        <v>027000</v>
      </c>
      <c r="C19" s="646">
        <f>'t1'!K19+'t1'!L19</f>
        <v>0</v>
      </c>
      <c r="D19" s="646">
        <f>('t1'!K19+'t1'!L19)-SUM('t3'!C19:F19,'t3'!I19:L19)+SUM('t3'!M19:P19)</f>
        <v>0</v>
      </c>
      <c r="E19" s="647">
        <f>'t12'!C19/12</f>
        <v>0</v>
      </c>
      <c r="F19" s="647" t="str">
        <f>IF($D19&gt;0,(('t11'!C21+'t11'!D21)/$D19)," ")</f>
        <v> </v>
      </c>
      <c r="G19" s="647" t="str">
        <f>IF($D19&gt;0,(SUM('t11'!E21:N21)/$D19)," ")</f>
        <v> </v>
      </c>
      <c r="H19" s="647" t="str">
        <f>IF($D19&gt;0,(SUM('t11'!O21:R21)/$D19)," ")</f>
        <v> </v>
      </c>
      <c r="I19" s="648" t="str">
        <f>IF($E19=0," ",('t12'!D19)/$E19)</f>
        <v> </v>
      </c>
      <c r="J19" s="648" t="str">
        <f>IF($E19=0," ",'t12'!E19/$E19)</f>
        <v> </v>
      </c>
      <c r="K19" s="648" t="str">
        <f>IF($E19=0," ",'t12'!F19/$E19)</f>
        <v> </v>
      </c>
      <c r="L19" s="648" t="str">
        <f>IF($E19=0," ",'t12'!G19/$E19)</f>
        <v> </v>
      </c>
      <c r="M19" s="649">
        <f t="shared" si="0"/>
        <v>0</v>
      </c>
      <c r="N19" s="650" t="str">
        <f>IF($E19=0," ",'t12'!H19/$E19)</f>
        <v> </v>
      </c>
      <c r="O19" s="650" t="str">
        <f>IF($E19=0," ",'t12'!I19/$E19)</f>
        <v> </v>
      </c>
      <c r="P19" s="648" t="str">
        <f>IF($E19=0," ",'t13'!Q19/$E19)</f>
        <v> </v>
      </c>
      <c r="Q19" s="648" t="str">
        <f>IF($E19=0," ",SUM('t13'!C19:I19)/$E19)</f>
        <v> </v>
      </c>
      <c r="R19" s="648" t="str">
        <f>IF($E19=0," ",(SUM('t13'!K19:M19)+'t13'!P19)/$E19)</f>
        <v> </v>
      </c>
      <c r="S19" s="649">
        <f t="shared" si="1"/>
        <v>0</v>
      </c>
      <c r="T19" s="650" t="str">
        <f>IF($E19=0," ",'t13'!O19/$E19)</f>
        <v> </v>
      </c>
      <c r="V19"/>
      <c r="W19"/>
      <c r="X19"/>
      <c r="Y19"/>
    </row>
    <row r="20" spans="1:25" s="112" customFormat="1" ht="9.75">
      <c r="A20" s="141" t="str">
        <f>'t1'!A20</f>
        <v>POSIZIONE ECONOMICA A2</v>
      </c>
      <c r="B20" s="324" t="str">
        <f>'t1'!B20</f>
        <v>025000</v>
      </c>
      <c r="C20" s="646">
        <f>'t1'!K20+'t1'!L20</f>
        <v>0</v>
      </c>
      <c r="D20" s="646">
        <f>('t1'!K20+'t1'!L20)-SUM('t3'!C20:F20,'t3'!I20:L20)+SUM('t3'!M20:P20)</f>
        <v>0</v>
      </c>
      <c r="E20" s="647">
        <f>'t12'!C20/12</f>
        <v>0</v>
      </c>
      <c r="F20" s="647" t="str">
        <f>IF($D20&gt;0,(('t11'!C22+'t11'!D22)/$D20)," ")</f>
        <v> </v>
      </c>
      <c r="G20" s="647" t="str">
        <f>IF($D20&gt;0,(SUM('t11'!E22:N22)/$D20)," ")</f>
        <v> </v>
      </c>
      <c r="H20" s="647" t="str">
        <f>IF($D20&gt;0,(SUM('t11'!O22:R22)/$D20)," ")</f>
        <v> </v>
      </c>
      <c r="I20" s="648" t="str">
        <f>IF($E20=0," ",('t12'!D20)/$E20)</f>
        <v> </v>
      </c>
      <c r="J20" s="648" t="str">
        <f>IF($E20=0," ",'t12'!E20/$E20)</f>
        <v> </v>
      </c>
      <c r="K20" s="648" t="str">
        <f>IF($E20=0," ",'t12'!F20/$E20)</f>
        <v> </v>
      </c>
      <c r="L20" s="648" t="str">
        <f>IF($E20=0," ",'t12'!G20/$E20)</f>
        <v> </v>
      </c>
      <c r="M20" s="649">
        <f t="shared" si="0"/>
        <v>0</v>
      </c>
      <c r="N20" s="650" t="str">
        <f>IF($E20=0," ",'t12'!H20/$E20)</f>
        <v> </v>
      </c>
      <c r="O20" s="650" t="str">
        <f>IF($E20=0," ",'t12'!I20/$E20)</f>
        <v> </v>
      </c>
      <c r="P20" s="648" t="str">
        <f>IF($E20=0," ",'t13'!Q20/$E20)</f>
        <v> </v>
      </c>
      <c r="Q20" s="648" t="str">
        <f>IF($E20=0," ",SUM('t13'!C20:I20)/$E20)</f>
        <v> </v>
      </c>
      <c r="R20" s="648" t="str">
        <f>IF($E20=0," ",(SUM('t13'!K20:M20)+'t13'!P20)/$E20)</f>
        <v> </v>
      </c>
      <c r="S20" s="649">
        <f t="shared" si="1"/>
        <v>0</v>
      </c>
      <c r="T20" s="650" t="str">
        <f>IF($E20=0," ",'t13'!O20/$E20)</f>
        <v> </v>
      </c>
      <c r="V20"/>
      <c r="W20"/>
      <c r="X20"/>
      <c r="Y20"/>
    </row>
    <row r="21" spans="1:25" s="112" customFormat="1" ht="9.75">
      <c r="A21" s="141" t="str">
        <f>'t1'!A21</f>
        <v>POSIZIONE ECONOMICA A1</v>
      </c>
      <c r="B21" s="324" t="str">
        <f>'t1'!B21</f>
        <v>023000</v>
      </c>
      <c r="C21" s="646">
        <f>'t1'!K21+'t1'!L21</f>
        <v>0</v>
      </c>
      <c r="D21" s="646">
        <f>('t1'!K21+'t1'!L21)-SUM('t3'!C21:F21,'t3'!I21:L21)+SUM('t3'!M21:P21)</f>
        <v>0</v>
      </c>
      <c r="E21" s="647">
        <f>'t12'!C21/12</f>
        <v>0</v>
      </c>
      <c r="F21" s="647" t="str">
        <f>IF($D21&gt;0,(('t11'!C23+'t11'!D23)/$D21)," ")</f>
        <v> </v>
      </c>
      <c r="G21" s="647" t="str">
        <f>IF($D21&gt;0,(SUM('t11'!E23:N23)/$D21)," ")</f>
        <v> </v>
      </c>
      <c r="H21" s="647" t="str">
        <f>IF($D21&gt;0,(SUM('t11'!O23:R23)/$D21)," ")</f>
        <v> </v>
      </c>
      <c r="I21" s="648" t="str">
        <f>IF($E21=0," ",('t12'!D21)/$E21)</f>
        <v> </v>
      </c>
      <c r="J21" s="648" t="str">
        <f>IF($E21=0," ",'t12'!E21/$E21)</f>
        <v> </v>
      </c>
      <c r="K21" s="648" t="str">
        <f>IF($E21=0," ",'t12'!F21/$E21)</f>
        <v> </v>
      </c>
      <c r="L21" s="648" t="str">
        <f>IF($E21=0," ",'t12'!G21/$E21)</f>
        <v> </v>
      </c>
      <c r="M21" s="649">
        <f t="shared" si="0"/>
        <v>0</v>
      </c>
      <c r="N21" s="650" t="str">
        <f>IF($E21=0," ",'t12'!H21/$E21)</f>
        <v> </v>
      </c>
      <c r="O21" s="650" t="str">
        <f>IF($E21=0," ",'t12'!I21/$E21)</f>
        <v> </v>
      </c>
      <c r="P21" s="648" t="str">
        <f>IF($E21=0," ",'t13'!Q21/$E21)</f>
        <v> </v>
      </c>
      <c r="Q21" s="648" t="str">
        <f>IF($E21=0," ",SUM('t13'!C21:I21)/$E21)</f>
        <v> </v>
      </c>
      <c r="R21" s="648" t="str">
        <f>IF($E21=0," ",(SUM('t13'!K21:M21)+'t13'!P21)/$E21)</f>
        <v> </v>
      </c>
      <c r="S21" s="649">
        <f t="shared" si="1"/>
        <v>0</v>
      </c>
      <c r="T21" s="650" t="str">
        <f>IF($E21=0," ",'t13'!O21/$E21)</f>
        <v> </v>
      </c>
      <c r="V21"/>
      <c r="W21"/>
      <c r="X21"/>
      <c r="Y21"/>
    </row>
    <row r="22" spans="1:25" s="112" customFormat="1" ht="9.75">
      <c r="A22" s="141" t="str">
        <f>'t1'!A22</f>
        <v>CONTRATTISTI (a)</v>
      </c>
      <c r="B22" s="324" t="str">
        <f>'t1'!B22</f>
        <v>000061</v>
      </c>
      <c r="C22" s="646">
        <f>'t1'!K22+'t1'!L22</f>
        <v>0</v>
      </c>
      <c r="D22" s="646">
        <f>('t1'!K22+'t1'!L22)-SUM('t3'!C22:F22,'t3'!I22:L22)+SUM('t3'!M22:P22)</f>
        <v>0</v>
      </c>
      <c r="E22" s="647">
        <f>'t12'!C22/12</f>
        <v>0</v>
      </c>
      <c r="F22" s="647" t="str">
        <f>IF($D22&gt;0,(('t11'!C24+'t11'!D24)/$D22)," ")</f>
        <v> </v>
      </c>
      <c r="G22" s="647" t="str">
        <f>IF($D22&gt;0,(SUM('t11'!E24:N24)/$D22)," ")</f>
        <v> </v>
      </c>
      <c r="H22" s="647" t="str">
        <f>IF($D22&gt;0,(SUM('t11'!O24:R24)/$D22)," ")</f>
        <v> </v>
      </c>
      <c r="I22" s="648" t="str">
        <f>IF($E22=0," ",('t12'!D22)/$E22)</f>
        <v> </v>
      </c>
      <c r="J22" s="648" t="str">
        <f>IF($E22=0," ",'t12'!E22/$E22)</f>
        <v> </v>
      </c>
      <c r="K22" s="648" t="str">
        <f>IF($E22=0," ",'t12'!F22/$E22)</f>
        <v> </v>
      </c>
      <c r="L22" s="648" t="str">
        <f>IF($E22=0," ",'t12'!G22/$E22)</f>
        <v> </v>
      </c>
      <c r="M22" s="649">
        <f t="shared" si="0"/>
        <v>0</v>
      </c>
      <c r="N22" s="650" t="str">
        <f>IF($E22=0," ",'t12'!H22/$E22)</f>
        <v> </v>
      </c>
      <c r="O22" s="650" t="str">
        <f>IF($E22=0," ",'t12'!I22/$E22)</f>
        <v> </v>
      </c>
      <c r="P22" s="648" t="str">
        <f>IF($E22=0," ",'t13'!Q22/$E22)</f>
        <v> </v>
      </c>
      <c r="Q22" s="648" t="str">
        <f>IF($E22=0," ",SUM('t13'!C22:I22)/$E22)</f>
        <v> </v>
      </c>
      <c r="R22" s="648" t="str">
        <f>IF($E22=0," ",(SUM('t13'!K22:M22)+'t13'!P22)/$E22)</f>
        <v> </v>
      </c>
      <c r="S22" s="649">
        <f t="shared" si="1"/>
        <v>0</v>
      </c>
      <c r="T22" s="650" t="str">
        <f>IF($E22=0," ",'t13'!O22/$E22)</f>
        <v> </v>
      </c>
      <c r="V22"/>
      <c r="W22"/>
      <c r="X22"/>
      <c r="Y22"/>
    </row>
    <row r="24" ht="9.75">
      <c r="A24" s="5" t="str">
        <f>"(*)  Personale presente al 31/12/"&amp;'t1'!L1&amp;" di T1 - personale dell'amministrazione comandato/distaccato, fuori ruolo e in esonero di T3 + personale esterno comandato/distaccato e fuori ruolo di T3"</f>
        <v>(*)  Personale presente al 31/12/2018 di T1 - personale dell'amministrazione comandato/distaccato, fuori ruolo e in esonero di T3 + personale esterno comandato/distaccato e fuori ruolo di T3</v>
      </c>
    </row>
    <row r="25" ht="9.75">
      <c r="A25" s="5" t="s">
        <v>443</v>
      </c>
    </row>
  </sheetData>
  <sheetProtection password="EA98" sheet="1" formatColumns="0" selectLockedCells="1" selectUnlockedCells="1"/>
  <mergeCells count="4">
    <mergeCell ref="A1:I1"/>
    <mergeCell ref="F4:H4"/>
    <mergeCell ref="I4:O4"/>
    <mergeCell ref="P4:T4"/>
  </mergeCells>
  <printOptions horizontalCentered="1" verticalCentered="1"/>
  <pageMargins left="0.1968503937007874" right="0.1968503937007874" top="0.1968503937007874" bottom="0.15748031496062992" header="0.15748031496062992" footer="0.15748031496062992"/>
  <pageSetup orientation="landscape" paperSize="9" scale="80" r:id="rId1"/>
  <colBreaks count="1" manualBreakCount="1">
    <brk id="15" max="65535" man="1"/>
  </colBreaks>
</worksheet>
</file>

<file path=xl/worksheets/sheet25.xml><?xml version="1.0" encoding="utf-8"?>
<worksheet xmlns="http://schemas.openxmlformats.org/spreadsheetml/2006/main" xmlns:r="http://schemas.openxmlformats.org/officeDocument/2006/relationships">
  <sheetPr codeName="Foglio22"/>
  <dimension ref="A1:T46"/>
  <sheetViews>
    <sheetView showGridLines="0" zoomScalePageLayoutView="0" workbookViewId="0" topLeftCell="A1">
      <pane ySplit="5" topLeftCell="A6" activePane="bottomLeft" state="frozen"/>
      <selection pane="topLeft" activeCell="A2" sqref="A2"/>
      <selection pane="bottomLeft" activeCell="B5" sqref="B5"/>
    </sheetView>
  </sheetViews>
  <sheetFormatPr defaultColWidth="9.33203125" defaultRowHeight="10.5"/>
  <cols>
    <col min="1" max="1" width="37.83203125" style="5" customWidth="1"/>
    <col min="2" max="2" width="10" style="7" bestFit="1" customWidth="1"/>
    <col min="3" max="7" width="13.33203125" style="7" customWidth="1"/>
    <col min="8" max="8" width="15" style="7" customWidth="1"/>
    <col min="9" max="10" width="13.33203125" style="7" customWidth="1"/>
    <col min="11" max="16384" width="9.33203125" style="5" customWidth="1"/>
  </cols>
  <sheetData>
    <row r="1" spans="1:13" ht="43.5" customHeight="1">
      <c r="A1" s="1349" t="str">
        <f>'t1'!A1</f>
        <v>CNEL - anno 2018</v>
      </c>
      <c r="B1" s="1349"/>
      <c r="C1" s="1349"/>
      <c r="D1" s="1349"/>
      <c r="E1" s="1349"/>
      <c r="F1" s="1349"/>
      <c r="G1" s="1349"/>
      <c r="H1" s="1349"/>
      <c r="I1" s="321"/>
      <c r="J1" s="318"/>
      <c r="K1" s="3"/>
      <c r="M1"/>
    </row>
    <row r="2" spans="2:13" ht="12.75" customHeight="1">
      <c r="B2" s="5"/>
      <c r="C2" s="5"/>
      <c r="D2" s="1439"/>
      <c r="E2" s="1439"/>
      <c r="F2" s="1439"/>
      <c r="G2" s="1439"/>
      <c r="H2" s="1439"/>
      <c r="I2" s="1439"/>
      <c r="J2" s="1439"/>
      <c r="K2" s="3"/>
      <c r="M2"/>
    </row>
    <row r="3" spans="1:2" s="200" customFormat="1" ht="21" customHeight="1">
      <c r="A3" s="200" t="str">
        <f>"Tavola di coerenza tra presenti al 31.12."&amp;'t1'!L1&amp;" e presenti al 31.12."&amp;'t1'!L1-1&amp;" (Squadratura 1)"</f>
        <v>Tavola di coerenza tra presenti al 31.12.2018 e presenti al 31.12.2017 (Squadratura 1)</v>
      </c>
      <c r="B3" s="320"/>
    </row>
    <row r="4" spans="1:10" ht="36.75" customHeight="1">
      <c r="A4" s="182" t="s">
        <v>201</v>
      </c>
      <c r="B4" s="183" t="s">
        <v>200</v>
      </c>
      <c r="C4" s="183" t="str">
        <f>"Presenti 31.12."&amp;'t1'!L1-1&amp;" (Tab 1)"</f>
        <v>Presenti 31.12.2017 (Tab 1)</v>
      </c>
      <c r="D4" s="183" t="s">
        <v>193</v>
      </c>
      <c r="E4" s="183" t="s">
        <v>248</v>
      </c>
      <c r="F4" s="183" t="s">
        <v>195</v>
      </c>
      <c r="G4" s="183" t="s">
        <v>194</v>
      </c>
      <c r="H4" s="183" t="str">
        <f>"Presenti 31.12."&amp;'t1'!L1&amp;" (Calcolati)"</f>
        <v>Presenti 31.12.2018 (Calcolati)</v>
      </c>
      <c r="I4" s="183" t="str">
        <f>"Presenti 31.12."&amp;'t1'!L1&amp;" (Tab 1)"</f>
        <v>Presenti 31.12.2018 (Tab 1)</v>
      </c>
      <c r="J4" s="183" t="s">
        <v>210</v>
      </c>
    </row>
    <row r="5" spans="1:10" ht="9.75">
      <c r="A5" s="746"/>
      <c r="B5" s="183"/>
      <c r="C5" s="189" t="s">
        <v>202</v>
      </c>
      <c r="D5" s="189" t="s">
        <v>203</v>
      </c>
      <c r="E5" s="189" t="s">
        <v>204</v>
      </c>
      <c r="F5" s="189" t="s">
        <v>205</v>
      </c>
      <c r="G5" s="189" t="s">
        <v>206</v>
      </c>
      <c r="H5" s="189" t="s">
        <v>207</v>
      </c>
      <c r="I5" s="189" t="s">
        <v>208</v>
      </c>
      <c r="J5" s="189" t="s">
        <v>209</v>
      </c>
    </row>
    <row r="6" spans="1:10" ht="12.75" customHeight="1">
      <c r="A6" s="747" t="str">
        <f>'t1'!A6</f>
        <v>DIRIGENTE I FASCIA</v>
      </c>
      <c r="B6" s="190" t="str">
        <f>'t1'!B6</f>
        <v>0D0077</v>
      </c>
      <c r="C6" s="346">
        <f>'t1'!C6+'t1'!D6</f>
        <v>0</v>
      </c>
      <c r="D6" s="346">
        <f>'t5'!S7+'t5'!T7</f>
        <v>0</v>
      </c>
      <c r="E6" s="347">
        <f>'t6'!W7+'t6'!X7</f>
        <v>0</v>
      </c>
      <c r="F6" s="347">
        <f>'t4'!T6</f>
        <v>0</v>
      </c>
      <c r="G6" s="347">
        <f>'t4'!C23</f>
        <v>0</v>
      </c>
      <c r="H6" s="347">
        <f>C6-D6+E6-F6+G6</f>
        <v>0</v>
      </c>
      <c r="I6" s="347">
        <f>'t1'!K6+'t1'!L6</f>
        <v>0</v>
      </c>
      <c r="J6" s="105" t="str">
        <f aca="true" t="shared" si="0" ref="J6:J22">IF(H6=I6,"OK","ERRORE")</f>
        <v>OK</v>
      </c>
    </row>
    <row r="7" spans="1:10" ht="12.75" customHeight="1">
      <c r="A7" s="747" t="str">
        <f>'t1'!A7</f>
        <v>DIRIGENTE I FASCIA A TEMPO DETERM.</v>
      </c>
      <c r="B7" s="190" t="str">
        <f>'t1'!B7</f>
        <v>0D0078</v>
      </c>
      <c r="C7" s="346">
        <f>'t1'!C7+'t1'!D7</f>
        <v>0</v>
      </c>
      <c r="D7" s="346">
        <f>'t5'!S8+'t5'!T8</f>
        <v>0</v>
      </c>
      <c r="E7" s="347">
        <f>'t6'!W8+'t6'!X8</f>
        <v>0</v>
      </c>
      <c r="F7" s="347">
        <f>'t4'!T7</f>
        <v>0</v>
      </c>
      <c r="G7" s="347">
        <f>'t4'!D23</f>
        <v>0</v>
      </c>
      <c r="H7" s="347">
        <f aca="true" t="shared" si="1" ref="H7:H22">C7-D7+E7-F7+G7</f>
        <v>0</v>
      </c>
      <c r="I7" s="347">
        <f>'t1'!K7+'t1'!L7</f>
        <v>0</v>
      </c>
      <c r="J7" s="105" t="str">
        <f t="shared" si="0"/>
        <v>OK</v>
      </c>
    </row>
    <row r="8" spans="1:10" ht="12.75" customHeight="1">
      <c r="A8" s="747" t="str">
        <f>'t1'!A8</f>
        <v>DIRIGENTE II FASCIA</v>
      </c>
      <c r="B8" s="190" t="str">
        <f>'t1'!B8</f>
        <v>0D0079</v>
      </c>
      <c r="C8" s="346">
        <f>'t1'!C8+'t1'!D8</f>
        <v>0</v>
      </c>
      <c r="D8" s="346">
        <f>'t5'!S9+'t5'!T9</f>
        <v>0</v>
      </c>
      <c r="E8" s="347">
        <f>'t6'!W9+'t6'!X9</f>
        <v>0</v>
      </c>
      <c r="F8" s="347">
        <f>'t4'!T8</f>
        <v>0</v>
      </c>
      <c r="G8" s="347">
        <f>'t4'!E23</f>
        <v>0</v>
      </c>
      <c r="H8" s="347">
        <f t="shared" si="1"/>
        <v>0</v>
      </c>
      <c r="I8" s="347">
        <f>'t1'!K8+'t1'!L8</f>
        <v>0</v>
      </c>
      <c r="J8" s="105" t="str">
        <f t="shared" si="0"/>
        <v>OK</v>
      </c>
    </row>
    <row r="9" spans="1:10" ht="12.75" customHeight="1">
      <c r="A9" s="747" t="str">
        <f>'t1'!A9</f>
        <v>DIRIGENTE II FASCIA A TEMPO DETERM.</v>
      </c>
      <c r="B9" s="190" t="str">
        <f>'t1'!B9</f>
        <v>0D0080</v>
      </c>
      <c r="C9" s="346">
        <f>'t1'!C9+'t1'!D9</f>
        <v>0</v>
      </c>
      <c r="D9" s="346">
        <f>'t5'!S10+'t5'!T10</f>
        <v>0</v>
      </c>
      <c r="E9" s="347">
        <f>'t6'!W10+'t6'!X10</f>
        <v>0</v>
      </c>
      <c r="F9" s="347">
        <f>'t4'!T9</f>
        <v>0</v>
      </c>
      <c r="G9" s="347">
        <f>'t4'!F23</f>
        <v>0</v>
      </c>
      <c r="H9" s="347">
        <f t="shared" si="1"/>
        <v>0</v>
      </c>
      <c r="I9" s="347">
        <f>'t1'!K9+'t1'!L9</f>
        <v>0</v>
      </c>
      <c r="J9" s="105" t="str">
        <f t="shared" si="0"/>
        <v>OK</v>
      </c>
    </row>
    <row r="10" spans="1:10" ht="12.75" customHeight="1">
      <c r="A10" s="747" t="str">
        <f>'t1'!A10</f>
        <v>POSIZIONE ECONOMICA C5</v>
      </c>
      <c r="B10" s="190" t="str">
        <f>'t1'!B10</f>
        <v>046000</v>
      </c>
      <c r="C10" s="346">
        <f>'t1'!C10+'t1'!D10</f>
        <v>0</v>
      </c>
      <c r="D10" s="346">
        <f>'t5'!S11+'t5'!T11</f>
        <v>0</v>
      </c>
      <c r="E10" s="347">
        <f>'t6'!W11+'t6'!X11</f>
        <v>0</v>
      </c>
      <c r="F10" s="347">
        <f>'t4'!T10</f>
        <v>0</v>
      </c>
      <c r="G10" s="347">
        <f>'t4'!G23</f>
        <v>0</v>
      </c>
      <c r="H10" s="347">
        <f t="shared" si="1"/>
        <v>0</v>
      </c>
      <c r="I10" s="347">
        <f>'t1'!K10+'t1'!L10</f>
        <v>0</v>
      </c>
      <c r="J10" s="105" t="str">
        <f t="shared" si="0"/>
        <v>OK</v>
      </c>
    </row>
    <row r="11" spans="1:10" ht="12.75" customHeight="1">
      <c r="A11" s="747" t="str">
        <f>'t1'!A11</f>
        <v>POSIZIONE ECONOMICA C4</v>
      </c>
      <c r="B11" s="190" t="str">
        <f>'t1'!B11</f>
        <v>045000</v>
      </c>
      <c r="C11" s="346">
        <f>'t1'!C11+'t1'!D11</f>
        <v>0</v>
      </c>
      <c r="D11" s="346">
        <f>'t5'!S12+'t5'!T12</f>
        <v>0</v>
      </c>
      <c r="E11" s="347">
        <f>'t6'!W12+'t6'!X12</f>
        <v>0</v>
      </c>
      <c r="F11" s="347">
        <f>'t4'!T11</f>
        <v>0</v>
      </c>
      <c r="G11" s="347">
        <f>'t4'!H23</f>
        <v>0</v>
      </c>
      <c r="H11" s="347">
        <f t="shared" si="1"/>
        <v>0</v>
      </c>
      <c r="I11" s="347">
        <f>'t1'!K11+'t1'!L11</f>
        <v>0</v>
      </c>
      <c r="J11" s="105" t="str">
        <f t="shared" si="0"/>
        <v>OK</v>
      </c>
    </row>
    <row r="12" spans="1:10" ht="12.75" customHeight="1">
      <c r="A12" s="747" t="str">
        <f>'t1'!A12</f>
        <v>POSIZIONE ECONOMICA C3</v>
      </c>
      <c r="B12" s="190" t="str">
        <f>'t1'!B12</f>
        <v>043000</v>
      </c>
      <c r="C12" s="346">
        <f>'t1'!C12+'t1'!D12</f>
        <v>0</v>
      </c>
      <c r="D12" s="346">
        <f>'t5'!S13+'t5'!T13</f>
        <v>0</v>
      </c>
      <c r="E12" s="347">
        <f>'t6'!W13+'t6'!X13</f>
        <v>0</v>
      </c>
      <c r="F12" s="347">
        <f>'t4'!T12</f>
        <v>0</v>
      </c>
      <c r="G12" s="347">
        <f>'t4'!I23</f>
        <v>0</v>
      </c>
      <c r="H12" s="347">
        <f t="shared" si="1"/>
        <v>0</v>
      </c>
      <c r="I12" s="347">
        <f>'t1'!K12+'t1'!L12</f>
        <v>0</v>
      </c>
      <c r="J12" s="105" t="str">
        <f t="shared" si="0"/>
        <v>OK</v>
      </c>
    </row>
    <row r="13" spans="1:10" ht="12.75" customHeight="1">
      <c r="A13" s="747" t="str">
        <f>'t1'!A13</f>
        <v>POSIZIONE ECONOMICA C2</v>
      </c>
      <c r="B13" s="190" t="str">
        <f>'t1'!B13</f>
        <v>042000</v>
      </c>
      <c r="C13" s="346">
        <f>'t1'!C13+'t1'!D13</f>
        <v>0</v>
      </c>
      <c r="D13" s="346">
        <f>'t5'!S14+'t5'!T14</f>
        <v>0</v>
      </c>
      <c r="E13" s="347">
        <f>'t6'!W14+'t6'!X14</f>
        <v>0</v>
      </c>
      <c r="F13" s="347">
        <f>'t4'!T13</f>
        <v>0</v>
      </c>
      <c r="G13" s="347">
        <f>'t4'!J23</f>
        <v>0</v>
      </c>
      <c r="H13" s="347">
        <f t="shared" si="1"/>
        <v>0</v>
      </c>
      <c r="I13" s="347">
        <f>'t1'!K13+'t1'!L13</f>
        <v>0</v>
      </c>
      <c r="J13" s="105" t="str">
        <f t="shared" si="0"/>
        <v>OK</v>
      </c>
    </row>
    <row r="14" spans="1:10" ht="12.75" customHeight="1">
      <c r="A14" s="747" t="str">
        <f>'t1'!A14</f>
        <v>POSIZIONE ECONOMICA C1</v>
      </c>
      <c r="B14" s="190" t="str">
        <f>'t1'!B14</f>
        <v>040000</v>
      </c>
      <c r="C14" s="346">
        <f>'t1'!C14+'t1'!D14</f>
        <v>0</v>
      </c>
      <c r="D14" s="346">
        <f>'t5'!S15+'t5'!T15</f>
        <v>0</v>
      </c>
      <c r="E14" s="347">
        <f>'t6'!W15+'t6'!X15</f>
        <v>0</v>
      </c>
      <c r="F14" s="347">
        <f>'t4'!T14</f>
        <v>0</v>
      </c>
      <c r="G14" s="347">
        <f>'t4'!K23</f>
        <v>0</v>
      </c>
      <c r="H14" s="347">
        <f t="shared" si="1"/>
        <v>0</v>
      </c>
      <c r="I14" s="347">
        <f>'t1'!K14+'t1'!L14</f>
        <v>0</v>
      </c>
      <c r="J14" s="105" t="str">
        <f t="shared" si="0"/>
        <v>OK</v>
      </c>
    </row>
    <row r="15" spans="1:10" ht="12.75" customHeight="1">
      <c r="A15" s="747" t="str">
        <f>'t1'!A15</f>
        <v>POSIZIONE ECONOMICA B4</v>
      </c>
      <c r="B15" s="190" t="str">
        <f>'t1'!B15</f>
        <v>036000</v>
      </c>
      <c r="C15" s="346">
        <f>'t1'!C15+'t1'!D15</f>
        <v>0</v>
      </c>
      <c r="D15" s="346">
        <f>'t5'!S16+'t5'!T16</f>
        <v>0</v>
      </c>
      <c r="E15" s="347">
        <f>'t6'!W16+'t6'!X16</f>
        <v>0</v>
      </c>
      <c r="F15" s="347">
        <f>'t4'!T15</f>
        <v>0</v>
      </c>
      <c r="G15" s="347">
        <f>'t4'!L23</f>
        <v>0</v>
      </c>
      <c r="H15" s="347">
        <f t="shared" si="1"/>
        <v>0</v>
      </c>
      <c r="I15" s="347">
        <f>'t1'!K15+'t1'!L15</f>
        <v>0</v>
      </c>
      <c r="J15" s="105" t="str">
        <f t="shared" si="0"/>
        <v>OK</v>
      </c>
    </row>
    <row r="16" spans="1:10" ht="12.75" customHeight="1">
      <c r="A16" s="747" t="str">
        <f>'t1'!A16</f>
        <v>POSIZIONE ECONOMICA B3</v>
      </c>
      <c r="B16" s="190" t="str">
        <f>'t1'!B16</f>
        <v>034000</v>
      </c>
      <c r="C16" s="346">
        <f>'t1'!C16+'t1'!D16</f>
        <v>0</v>
      </c>
      <c r="D16" s="346">
        <f>'t5'!S17+'t5'!T17</f>
        <v>0</v>
      </c>
      <c r="E16" s="347">
        <f>'t6'!W17+'t6'!X17</f>
        <v>0</v>
      </c>
      <c r="F16" s="347">
        <f>'t4'!T16</f>
        <v>0</v>
      </c>
      <c r="G16" s="347">
        <f>'t4'!M23</f>
        <v>0</v>
      </c>
      <c r="H16" s="347">
        <f t="shared" si="1"/>
        <v>0</v>
      </c>
      <c r="I16" s="347">
        <f>'t1'!K16+'t1'!L16</f>
        <v>0</v>
      </c>
      <c r="J16" s="105" t="str">
        <f t="shared" si="0"/>
        <v>OK</v>
      </c>
    </row>
    <row r="17" spans="1:10" ht="12.75" customHeight="1">
      <c r="A17" s="747" t="str">
        <f>'t1'!A17</f>
        <v>POSIZIONE ECONOMICA B2</v>
      </c>
      <c r="B17" s="190" t="str">
        <f>'t1'!B17</f>
        <v>032000</v>
      </c>
      <c r="C17" s="346">
        <f>'t1'!C17+'t1'!D17</f>
        <v>0</v>
      </c>
      <c r="D17" s="346">
        <f>'t5'!S18+'t5'!T18</f>
        <v>0</v>
      </c>
      <c r="E17" s="347">
        <f>'t6'!W18+'t6'!X18</f>
        <v>0</v>
      </c>
      <c r="F17" s="347">
        <f>'t4'!T17</f>
        <v>0</v>
      </c>
      <c r="G17" s="347">
        <f>'t4'!N23</f>
        <v>0</v>
      </c>
      <c r="H17" s="347">
        <f t="shared" si="1"/>
        <v>0</v>
      </c>
      <c r="I17" s="347">
        <f>'t1'!K17+'t1'!L17</f>
        <v>0</v>
      </c>
      <c r="J17" s="105" t="str">
        <f t="shared" si="0"/>
        <v>OK</v>
      </c>
    </row>
    <row r="18" spans="1:10" ht="12.75" customHeight="1">
      <c r="A18" s="747" t="str">
        <f>'t1'!A18</f>
        <v>POSIZIONE ECONOMICA B1</v>
      </c>
      <c r="B18" s="190" t="str">
        <f>'t1'!B18</f>
        <v>030000</v>
      </c>
      <c r="C18" s="346">
        <f>'t1'!C18+'t1'!D18</f>
        <v>0</v>
      </c>
      <c r="D18" s="346">
        <f>'t5'!S19+'t5'!T19</f>
        <v>0</v>
      </c>
      <c r="E18" s="347">
        <f>'t6'!W19+'t6'!X19</f>
        <v>0</v>
      </c>
      <c r="F18" s="347">
        <f>'t4'!T18</f>
        <v>0</v>
      </c>
      <c r="G18" s="347">
        <f>'t4'!O23</f>
        <v>0</v>
      </c>
      <c r="H18" s="347">
        <f t="shared" si="1"/>
        <v>0</v>
      </c>
      <c r="I18" s="347">
        <f>'t1'!K18+'t1'!L18</f>
        <v>0</v>
      </c>
      <c r="J18" s="105" t="str">
        <f t="shared" si="0"/>
        <v>OK</v>
      </c>
    </row>
    <row r="19" spans="1:10" ht="12.75" customHeight="1">
      <c r="A19" s="747" t="str">
        <f>'t1'!A19</f>
        <v>POSIZIONE ECONOMICA A3</v>
      </c>
      <c r="B19" s="190" t="str">
        <f>'t1'!B19</f>
        <v>027000</v>
      </c>
      <c r="C19" s="346">
        <f>'t1'!C19+'t1'!D19</f>
        <v>0</v>
      </c>
      <c r="D19" s="346">
        <f>'t5'!S20+'t5'!T20</f>
        <v>0</v>
      </c>
      <c r="E19" s="347">
        <f>'t6'!W20+'t6'!X20</f>
        <v>0</v>
      </c>
      <c r="F19" s="347">
        <f>'t4'!T19</f>
        <v>0</v>
      </c>
      <c r="G19" s="347">
        <f>'t4'!P23</f>
        <v>0</v>
      </c>
      <c r="H19" s="347">
        <f t="shared" si="1"/>
        <v>0</v>
      </c>
      <c r="I19" s="347">
        <f>'t1'!K19+'t1'!L19</f>
        <v>0</v>
      </c>
      <c r="J19" s="105" t="str">
        <f t="shared" si="0"/>
        <v>OK</v>
      </c>
    </row>
    <row r="20" spans="1:10" ht="12.75" customHeight="1">
      <c r="A20" s="747" t="str">
        <f>'t1'!A20</f>
        <v>POSIZIONE ECONOMICA A2</v>
      </c>
      <c r="B20" s="190" t="str">
        <f>'t1'!B20</f>
        <v>025000</v>
      </c>
      <c r="C20" s="346">
        <f>'t1'!C20+'t1'!D20</f>
        <v>0</v>
      </c>
      <c r="D20" s="346">
        <f>'t5'!S21+'t5'!T21</f>
        <v>0</v>
      </c>
      <c r="E20" s="347">
        <f>'t6'!W21+'t6'!X21</f>
        <v>0</v>
      </c>
      <c r="F20" s="347">
        <f>'t4'!T20</f>
        <v>0</v>
      </c>
      <c r="G20" s="347">
        <f>'t4'!Q23</f>
        <v>0</v>
      </c>
      <c r="H20" s="347">
        <f t="shared" si="1"/>
        <v>0</v>
      </c>
      <c r="I20" s="347">
        <f>'t1'!K20+'t1'!L20</f>
        <v>0</v>
      </c>
      <c r="J20" s="105" t="str">
        <f t="shared" si="0"/>
        <v>OK</v>
      </c>
    </row>
    <row r="21" spans="1:10" ht="12.75" customHeight="1">
      <c r="A21" s="747" t="str">
        <f>'t1'!A21</f>
        <v>POSIZIONE ECONOMICA A1</v>
      </c>
      <c r="B21" s="190" t="str">
        <f>'t1'!B21</f>
        <v>023000</v>
      </c>
      <c r="C21" s="346">
        <f>'t1'!C21+'t1'!D21</f>
        <v>0</v>
      </c>
      <c r="D21" s="346">
        <f>'t5'!S22+'t5'!T22</f>
        <v>0</v>
      </c>
      <c r="E21" s="347">
        <f>'t6'!W22+'t6'!X22</f>
        <v>0</v>
      </c>
      <c r="F21" s="347">
        <f>'t4'!T21</f>
        <v>0</v>
      </c>
      <c r="G21" s="347">
        <f>'t4'!R23</f>
        <v>0</v>
      </c>
      <c r="H21" s="347">
        <f t="shared" si="1"/>
        <v>0</v>
      </c>
      <c r="I21" s="347">
        <f>'t1'!K21+'t1'!L21</f>
        <v>0</v>
      </c>
      <c r="J21" s="105" t="str">
        <f t="shared" si="0"/>
        <v>OK</v>
      </c>
    </row>
    <row r="22" spans="1:10" ht="12.75" customHeight="1">
      <c r="A22" s="747" t="str">
        <f>'t1'!A22</f>
        <v>CONTRATTISTI (a)</v>
      </c>
      <c r="B22" s="190" t="str">
        <f>'t1'!B22</f>
        <v>000061</v>
      </c>
      <c r="C22" s="346">
        <f>'t1'!C22+'t1'!D22</f>
        <v>0</v>
      </c>
      <c r="D22" s="346">
        <f>'t5'!S23+'t5'!T23</f>
        <v>0</v>
      </c>
      <c r="E22" s="347">
        <f>'t6'!W23+'t6'!X23</f>
        <v>0</v>
      </c>
      <c r="F22" s="347">
        <f>'t4'!T22</f>
        <v>0</v>
      </c>
      <c r="G22" s="347">
        <f>'t4'!S23</f>
        <v>0</v>
      </c>
      <c r="H22" s="347">
        <f t="shared" si="1"/>
        <v>0</v>
      </c>
      <c r="I22" s="347">
        <f>'t1'!K22+'t1'!L22</f>
        <v>0</v>
      </c>
      <c r="J22" s="105" t="str">
        <f t="shared" si="0"/>
        <v>OK</v>
      </c>
    </row>
    <row r="23" spans="1:10" s="353" customFormat="1" ht="15.75" customHeight="1">
      <c r="A23" s="748" t="str">
        <f>'t1'!A23</f>
        <v>TOTALE</v>
      </c>
      <c r="B23" s="211"/>
      <c r="C23" s="371">
        <f aca="true" t="shared" si="2" ref="C23:I23">SUM(C6:C22)</f>
        <v>0</v>
      </c>
      <c r="D23" s="371">
        <f t="shared" si="2"/>
        <v>0</v>
      </c>
      <c r="E23" s="371">
        <f t="shared" si="2"/>
        <v>0</v>
      </c>
      <c r="F23" s="371">
        <f t="shared" si="2"/>
        <v>0</v>
      </c>
      <c r="G23" s="371">
        <f t="shared" si="2"/>
        <v>0</v>
      </c>
      <c r="H23" s="371">
        <f t="shared" si="2"/>
        <v>0</v>
      </c>
      <c r="I23" s="371">
        <f t="shared" si="2"/>
        <v>0</v>
      </c>
      <c r="J23" s="372" t="str">
        <f>IF(H23=I23,"OK","ERRORE")</f>
        <v>OK</v>
      </c>
    </row>
    <row r="28" spans="6:20" ht="9.75">
      <c r="F28" s="368"/>
      <c r="G28" s="368"/>
      <c r="H28" s="368"/>
      <c r="I28" s="368"/>
      <c r="J28" s="368"/>
      <c r="K28" s="369"/>
      <c r="L28" s="369"/>
      <c r="M28" s="369"/>
      <c r="N28" s="369"/>
      <c r="O28" s="369"/>
      <c r="P28" s="369"/>
      <c r="Q28" s="369"/>
      <c r="R28" s="369"/>
      <c r="S28" s="369"/>
      <c r="T28" s="369"/>
    </row>
    <row r="32" ht="9.75">
      <c r="G32" s="368"/>
    </row>
    <row r="33" ht="9.75">
      <c r="G33" s="368"/>
    </row>
    <row r="34" ht="9.75">
      <c r="G34" s="368"/>
    </row>
    <row r="35" ht="9.75">
      <c r="G35" s="368"/>
    </row>
    <row r="36" ht="9.75">
      <c r="G36" s="368"/>
    </row>
    <row r="37" ht="9.75">
      <c r="G37" s="369"/>
    </row>
    <row r="38" ht="9.75">
      <c r="G38" s="369"/>
    </row>
    <row r="39" ht="9.75">
      <c r="G39" s="369"/>
    </row>
    <row r="40" ht="9.75">
      <c r="G40" s="369"/>
    </row>
    <row r="41" ht="9.75">
      <c r="G41" s="369"/>
    </row>
    <row r="42" ht="9.75">
      <c r="G42" s="369"/>
    </row>
    <row r="43" ht="9.75">
      <c r="G43" s="369"/>
    </row>
    <row r="44" ht="9.75">
      <c r="G44" s="369"/>
    </row>
    <row r="45" ht="9.75">
      <c r="G45" s="369"/>
    </row>
    <row r="46" ht="9.75">
      <c r="G46" s="369"/>
    </row>
  </sheetData>
  <sheetProtection password="EA98" sheet="1" formatColumns="0" selectLockedCells="1" selectUnlockedCells="1"/>
  <mergeCells count="2">
    <mergeCell ref="A1:H1"/>
    <mergeCell ref="D2:J2"/>
  </mergeCells>
  <printOptions horizontalCentered="1" verticalCentered="1"/>
  <pageMargins left="0" right="0" top="0.15748031496062992" bottom="0.15748031496062992" header="0.1968503937007874" footer="0.1968503937007874"/>
  <pageSetup horizontalDpi="300" verticalDpi="300" orientation="landscape" paperSize="9" scale="85" r:id="rId2"/>
  <drawing r:id="rId1"/>
</worksheet>
</file>

<file path=xl/worksheets/sheet26.xml><?xml version="1.0" encoding="utf-8"?>
<worksheet xmlns="http://schemas.openxmlformats.org/spreadsheetml/2006/main" xmlns:r="http://schemas.openxmlformats.org/officeDocument/2006/relationships">
  <sheetPr codeName="Foglio23"/>
  <dimension ref="A1:M24"/>
  <sheetViews>
    <sheetView showGridLines="0" zoomScalePageLayoutView="0" workbookViewId="0" topLeftCell="A1">
      <pane xSplit="2" ySplit="6" topLeftCell="C7" activePane="bottomRight" state="frozen"/>
      <selection pane="topLeft" activeCell="A2" sqref="A2"/>
      <selection pane="topRight" activeCell="A2" sqref="A2"/>
      <selection pane="bottomLeft" activeCell="A2" sqref="A2"/>
      <selection pane="bottomRight" activeCell="B6" sqref="B6"/>
    </sheetView>
  </sheetViews>
  <sheetFormatPr defaultColWidth="9.33203125" defaultRowHeight="10.5"/>
  <cols>
    <col min="1" max="1" width="35.83203125" style="5" customWidth="1"/>
    <col min="2" max="2" width="12.5" style="7" customWidth="1"/>
    <col min="3" max="3" width="11" style="7" customWidth="1"/>
    <col min="4" max="5" width="12.5" style="7" customWidth="1"/>
    <col min="6" max="7" width="10.83203125" style="7" customWidth="1"/>
    <col min="8" max="8" width="11" style="7" customWidth="1"/>
    <col min="9" max="10" width="12.5" style="7" customWidth="1"/>
    <col min="11" max="11" width="10.83203125" style="7" customWidth="1"/>
    <col min="12" max="12" width="10.83203125" style="5" customWidth="1"/>
    <col min="13" max="16384" width="9.33203125" style="5" customWidth="1"/>
  </cols>
  <sheetData>
    <row r="1" spans="1:13" ht="43.5" customHeight="1">
      <c r="A1" s="1349" t="str">
        <f>'t1'!A1</f>
        <v>CNEL - anno 2018</v>
      </c>
      <c r="B1" s="1349"/>
      <c r="C1" s="1349"/>
      <c r="D1" s="1349"/>
      <c r="E1" s="1349"/>
      <c r="F1" s="1349"/>
      <c r="G1" s="1349"/>
      <c r="H1" s="1349"/>
      <c r="I1" s="1349"/>
      <c r="J1" s="1349"/>
      <c r="K1" s="3"/>
      <c r="L1" s="318"/>
      <c r="M1"/>
    </row>
    <row r="2" spans="2:13" ht="12.75" customHeight="1">
      <c r="B2" s="5"/>
      <c r="C2" s="5"/>
      <c r="D2" s="5"/>
      <c r="E2" s="1439"/>
      <c r="F2" s="1439"/>
      <c r="G2" s="1439"/>
      <c r="H2" s="1439"/>
      <c r="I2" s="1439"/>
      <c r="J2" s="1439"/>
      <c r="K2" s="1439"/>
      <c r="L2" s="1439"/>
      <c r="M2"/>
    </row>
    <row r="3" spans="1:11" ht="21" customHeight="1">
      <c r="A3" s="200" t="str">
        <f>"Tavola di coerenza tra presenti al 31.12."&amp;'t1'!L1&amp;" rilevati nelle Tabelle 1, 7, 8 e 9 (Squadratura 2)"</f>
        <v>Tavola di coerenza tra presenti al 31.12.2018 rilevati nelle Tabelle 1, 7, 8 e 9 (Squadratura 2)</v>
      </c>
      <c r="C3" s="5"/>
      <c r="D3" s="5"/>
      <c r="E3" s="5"/>
      <c r="F3" s="5"/>
      <c r="G3" s="5"/>
      <c r="H3" s="5"/>
      <c r="I3" s="5"/>
      <c r="J3" s="5"/>
      <c r="K3" s="5"/>
    </row>
    <row r="4" spans="1:12" s="104" customFormat="1" ht="11.25" customHeight="1">
      <c r="A4" s="192"/>
      <c r="B4" s="192"/>
      <c r="C4" s="1440" t="s">
        <v>261</v>
      </c>
      <c r="D4" s="1441"/>
      <c r="E4" s="1441"/>
      <c r="F4" s="1441"/>
      <c r="G4" s="1442"/>
      <c r="H4" s="1440" t="s">
        <v>262</v>
      </c>
      <c r="I4" s="1441"/>
      <c r="J4" s="1441"/>
      <c r="K4" s="1441"/>
      <c r="L4" s="1442"/>
    </row>
    <row r="5" spans="1:12" ht="70.5" customHeight="1">
      <c r="A5" s="183" t="s">
        <v>201</v>
      </c>
      <c r="B5" s="183" t="s">
        <v>200</v>
      </c>
      <c r="C5" s="191" t="str">
        <f>"Presenti 31.12."&amp;'t1'!L1&amp;" (Tab 1)"</f>
        <v>Presenti 31.12.2018 (Tab 1)</v>
      </c>
      <c r="D5" s="188" t="s">
        <v>211</v>
      </c>
      <c r="E5" s="188" t="s">
        <v>212</v>
      </c>
      <c r="F5" s="188" t="s">
        <v>14</v>
      </c>
      <c r="G5" s="188" t="s">
        <v>210</v>
      </c>
      <c r="H5" s="191" t="str">
        <f>"Presenti 31.12."&amp;'t1'!L1&amp;" (Tab 1)"</f>
        <v>Presenti 31.12.2018 (Tab 1)</v>
      </c>
      <c r="I5" s="188" t="s">
        <v>211</v>
      </c>
      <c r="J5" s="188" t="s">
        <v>212</v>
      </c>
      <c r="K5" s="188" t="s">
        <v>14</v>
      </c>
      <c r="L5" s="188" t="s">
        <v>210</v>
      </c>
    </row>
    <row r="6" spans="1:12" ht="9.75">
      <c r="A6" s="184"/>
      <c r="B6" s="184"/>
      <c r="C6" s="193" t="s">
        <v>202</v>
      </c>
      <c r="D6" s="193" t="s">
        <v>203</v>
      </c>
      <c r="E6" s="193" t="s">
        <v>204</v>
      </c>
      <c r="F6" s="193" t="s">
        <v>205</v>
      </c>
      <c r="G6" s="194" t="s">
        <v>228</v>
      </c>
      <c r="H6" s="193" t="s">
        <v>206</v>
      </c>
      <c r="I6" s="193" t="s">
        <v>226</v>
      </c>
      <c r="J6" s="193" t="s">
        <v>208</v>
      </c>
      <c r="K6" s="193" t="s">
        <v>216</v>
      </c>
      <c r="L6" s="194" t="s">
        <v>229</v>
      </c>
    </row>
    <row r="7" spans="1:12" ht="12.75" customHeight="1">
      <c r="A7" s="141" t="str">
        <f>'t1'!A6</f>
        <v>DIRIGENTE I FASCIA</v>
      </c>
      <c r="B7" s="190" t="str">
        <f>'t1'!B6</f>
        <v>0D0077</v>
      </c>
      <c r="C7" s="346">
        <f>'t1'!K6</f>
        <v>0</v>
      </c>
      <c r="D7" s="346">
        <f>'t7'!W6</f>
        <v>0</v>
      </c>
      <c r="E7" s="347">
        <f>'t8'!AA6</f>
        <v>0</v>
      </c>
      <c r="F7" s="347">
        <f>'t9'!O6</f>
        <v>0</v>
      </c>
      <c r="G7" s="105" t="str">
        <f aca="true" t="shared" si="0" ref="G7:G23">IF(COUNTIF(C7:F7,C7)=4,"OK","ERRORE")</f>
        <v>OK</v>
      </c>
      <c r="H7" s="347">
        <f>'t1'!L6</f>
        <v>0</v>
      </c>
      <c r="I7" s="347">
        <f>'t7'!X6</f>
        <v>0</v>
      </c>
      <c r="J7" s="347">
        <f>'t8'!AB6</f>
        <v>0</v>
      </c>
      <c r="K7" s="346">
        <f>'t9'!P6</f>
        <v>0</v>
      </c>
      <c r="L7" s="105" t="str">
        <f aca="true" t="shared" si="1" ref="L7:L23">IF(COUNTIF(H7:K7,H7)=4,"OK","ERRORE")</f>
        <v>OK</v>
      </c>
    </row>
    <row r="8" spans="1:12" ht="12.75" customHeight="1">
      <c r="A8" s="141" t="str">
        <f>'t1'!A7</f>
        <v>DIRIGENTE I FASCIA A TEMPO DETERM.</v>
      </c>
      <c r="B8" s="190" t="str">
        <f>'t1'!B7</f>
        <v>0D0078</v>
      </c>
      <c r="C8" s="346">
        <f>'t1'!K7</f>
        <v>0</v>
      </c>
      <c r="D8" s="346">
        <f>'t7'!W7</f>
        <v>0</v>
      </c>
      <c r="E8" s="347">
        <f>'t8'!AA7</f>
        <v>0</v>
      </c>
      <c r="F8" s="347">
        <f>'t9'!O7</f>
        <v>0</v>
      </c>
      <c r="G8" s="105" t="str">
        <f t="shared" si="0"/>
        <v>OK</v>
      </c>
      <c r="H8" s="347">
        <f>'t1'!L7</f>
        <v>0</v>
      </c>
      <c r="I8" s="347">
        <f>'t7'!X7</f>
        <v>0</v>
      </c>
      <c r="J8" s="347">
        <f>'t8'!AB7</f>
        <v>0</v>
      </c>
      <c r="K8" s="346">
        <f>'t9'!P7</f>
        <v>0</v>
      </c>
      <c r="L8" s="105" t="str">
        <f t="shared" si="1"/>
        <v>OK</v>
      </c>
    </row>
    <row r="9" spans="1:12" ht="12.75" customHeight="1">
      <c r="A9" s="141" t="str">
        <f>'t1'!A8</f>
        <v>DIRIGENTE II FASCIA</v>
      </c>
      <c r="B9" s="190" t="str">
        <f>'t1'!B8</f>
        <v>0D0079</v>
      </c>
      <c r="C9" s="346">
        <f>'t1'!K8</f>
        <v>0</v>
      </c>
      <c r="D9" s="346">
        <f>'t7'!W8</f>
        <v>0</v>
      </c>
      <c r="E9" s="347">
        <f>'t8'!AA8</f>
        <v>0</v>
      </c>
      <c r="F9" s="347">
        <f>'t9'!O8</f>
        <v>0</v>
      </c>
      <c r="G9" s="105" t="str">
        <f t="shared" si="0"/>
        <v>OK</v>
      </c>
      <c r="H9" s="347">
        <f>'t1'!L8</f>
        <v>0</v>
      </c>
      <c r="I9" s="347">
        <f>'t7'!X8</f>
        <v>0</v>
      </c>
      <c r="J9" s="347">
        <f>'t8'!AB8</f>
        <v>0</v>
      </c>
      <c r="K9" s="346">
        <f>'t9'!P8</f>
        <v>0</v>
      </c>
      <c r="L9" s="105" t="str">
        <f t="shared" si="1"/>
        <v>OK</v>
      </c>
    </row>
    <row r="10" spans="1:12" ht="12.75" customHeight="1">
      <c r="A10" s="141" t="str">
        <f>'t1'!A9</f>
        <v>DIRIGENTE II FASCIA A TEMPO DETERM.</v>
      </c>
      <c r="B10" s="190" t="str">
        <f>'t1'!B9</f>
        <v>0D0080</v>
      </c>
      <c r="C10" s="346">
        <f>'t1'!K9</f>
        <v>0</v>
      </c>
      <c r="D10" s="346">
        <f>'t7'!W9</f>
        <v>0</v>
      </c>
      <c r="E10" s="347">
        <f>'t8'!AA9</f>
        <v>0</v>
      </c>
      <c r="F10" s="347">
        <f>'t9'!O9</f>
        <v>0</v>
      </c>
      <c r="G10" s="105" t="str">
        <f t="shared" si="0"/>
        <v>OK</v>
      </c>
      <c r="H10" s="347">
        <f>'t1'!L9</f>
        <v>0</v>
      </c>
      <c r="I10" s="347">
        <f>'t7'!X9</f>
        <v>0</v>
      </c>
      <c r="J10" s="347">
        <f>'t8'!AB9</f>
        <v>0</v>
      </c>
      <c r="K10" s="346">
        <f>'t9'!P9</f>
        <v>0</v>
      </c>
      <c r="L10" s="105" t="str">
        <f t="shared" si="1"/>
        <v>OK</v>
      </c>
    </row>
    <row r="11" spans="1:12" ht="12.75" customHeight="1">
      <c r="A11" s="141" t="str">
        <f>'t1'!A10</f>
        <v>POSIZIONE ECONOMICA C5</v>
      </c>
      <c r="B11" s="190" t="str">
        <f>'t1'!B10</f>
        <v>046000</v>
      </c>
      <c r="C11" s="346">
        <f>'t1'!K10</f>
        <v>0</v>
      </c>
      <c r="D11" s="346">
        <f>'t7'!W10</f>
        <v>0</v>
      </c>
      <c r="E11" s="347">
        <f>'t8'!AA10</f>
        <v>0</v>
      </c>
      <c r="F11" s="347">
        <f>'t9'!O10</f>
        <v>0</v>
      </c>
      <c r="G11" s="105" t="str">
        <f t="shared" si="0"/>
        <v>OK</v>
      </c>
      <c r="H11" s="347">
        <f>'t1'!L10</f>
        <v>0</v>
      </c>
      <c r="I11" s="347">
        <f>'t7'!X10</f>
        <v>0</v>
      </c>
      <c r="J11" s="347">
        <f>'t8'!AB10</f>
        <v>0</v>
      </c>
      <c r="K11" s="346">
        <f>'t9'!P10</f>
        <v>0</v>
      </c>
      <c r="L11" s="105" t="str">
        <f t="shared" si="1"/>
        <v>OK</v>
      </c>
    </row>
    <row r="12" spans="1:12" ht="12.75" customHeight="1">
      <c r="A12" s="141" t="str">
        <f>'t1'!A11</f>
        <v>POSIZIONE ECONOMICA C4</v>
      </c>
      <c r="B12" s="190" t="str">
        <f>'t1'!B11</f>
        <v>045000</v>
      </c>
      <c r="C12" s="346">
        <f>'t1'!K11</f>
        <v>0</v>
      </c>
      <c r="D12" s="346">
        <f>'t7'!W11</f>
        <v>0</v>
      </c>
      <c r="E12" s="347">
        <f>'t8'!AA11</f>
        <v>0</v>
      </c>
      <c r="F12" s="347">
        <f>'t9'!O11</f>
        <v>0</v>
      </c>
      <c r="G12" s="105" t="str">
        <f t="shared" si="0"/>
        <v>OK</v>
      </c>
      <c r="H12" s="347">
        <f>'t1'!L11</f>
        <v>0</v>
      </c>
      <c r="I12" s="347">
        <f>'t7'!X11</f>
        <v>0</v>
      </c>
      <c r="J12" s="347">
        <f>'t8'!AB11</f>
        <v>0</v>
      </c>
      <c r="K12" s="346">
        <f>'t9'!P11</f>
        <v>0</v>
      </c>
      <c r="L12" s="105" t="str">
        <f t="shared" si="1"/>
        <v>OK</v>
      </c>
    </row>
    <row r="13" spans="1:12" ht="12.75" customHeight="1">
      <c r="A13" s="141" t="str">
        <f>'t1'!A12</f>
        <v>POSIZIONE ECONOMICA C3</v>
      </c>
      <c r="B13" s="190" t="str">
        <f>'t1'!B12</f>
        <v>043000</v>
      </c>
      <c r="C13" s="346">
        <f>'t1'!K12</f>
        <v>0</v>
      </c>
      <c r="D13" s="346">
        <f>'t7'!W12</f>
        <v>0</v>
      </c>
      <c r="E13" s="347">
        <f>'t8'!AA12</f>
        <v>0</v>
      </c>
      <c r="F13" s="347">
        <f>'t9'!O12</f>
        <v>0</v>
      </c>
      <c r="G13" s="105" t="str">
        <f t="shared" si="0"/>
        <v>OK</v>
      </c>
      <c r="H13" s="347">
        <f>'t1'!L12</f>
        <v>0</v>
      </c>
      <c r="I13" s="347">
        <f>'t7'!X12</f>
        <v>0</v>
      </c>
      <c r="J13" s="347">
        <f>'t8'!AB12</f>
        <v>0</v>
      </c>
      <c r="K13" s="346">
        <f>'t9'!P12</f>
        <v>0</v>
      </c>
      <c r="L13" s="105" t="str">
        <f t="shared" si="1"/>
        <v>OK</v>
      </c>
    </row>
    <row r="14" spans="1:12" ht="12.75" customHeight="1">
      <c r="A14" s="141" t="str">
        <f>'t1'!A13</f>
        <v>POSIZIONE ECONOMICA C2</v>
      </c>
      <c r="B14" s="190" t="str">
        <f>'t1'!B13</f>
        <v>042000</v>
      </c>
      <c r="C14" s="346">
        <f>'t1'!K13</f>
        <v>0</v>
      </c>
      <c r="D14" s="346">
        <f>'t7'!W13</f>
        <v>0</v>
      </c>
      <c r="E14" s="347">
        <f>'t8'!AA13</f>
        <v>0</v>
      </c>
      <c r="F14" s="347">
        <f>'t9'!O13</f>
        <v>0</v>
      </c>
      <c r="G14" s="105" t="str">
        <f t="shared" si="0"/>
        <v>OK</v>
      </c>
      <c r="H14" s="347">
        <f>'t1'!L13</f>
        <v>0</v>
      </c>
      <c r="I14" s="347">
        <f>'t7'!X13</f>
        <v>0</v>
      </c>
      <c r="J14" s="347">
        <f>'t8'!AB13</f>
        <v>0</v>
      </c>
      <c r="K14" s="346">
        <f>'t9'!P13</f>
        <v>0</v>
      </c>
      <c r="L14" s="105" t="str">
        <f t="shared" si="1"/>
        <v>OK</v>
      </c>
    </row>
    <row r="15" spans="1:12" ht="12.75" customHeight="1">
      <c r="A15" s="141" t="str">
        <f>'t1'!A14</f>
        <v>POSIZIONE ECONOMICA C1</v>
      </c>
      <c r="B15" s="190" t="str">
        <f>'t1'!B14</f>
        <v>040000</v>
      </c>
      <c r="C15" s="346">
        <f>'t1'!K14</f>
        <v>0</v>
      </c>
      <c r="D15" s="346">
        <f>'t7'!W14</f>
        <v>0</v>
      </c>
      <c r="E15" s="347">
        <f>'t8'!AA14</f>
        <v>0</v>
      </c>
      <c r="F15" s="347">
        <f>'t9'!O14</f>
        <v>0</v>
      </c>
      <c r="G15" s="105" t="str">
        <f t="shared" si="0"/>
        <v>OK</v>
      </c>
      <c r="H15" s="347">
        <f>'t1'!L14</f>
        <v>0</v>
      </c>
      <c r="I15" s="347">
        <f>'t7'!X14</f>
        <v>0</v>
      </c>
      <c r="J15" s="347">
        <f>'t8'!AB14</f>
        <v>0</v>
      </c>
      <c r="K15" s="346">
        <f>'t9'!P14</f>
        <v>0</v>
      </c>
      <c r="L15" s="105" t="str">
        <f t="shared" si="1"/>
        <v>OK</v>
      </c>
    </row>
    <row r="16" spans="1:12" ht="12.75" customHeight="1">
      <c r="A16" s="141" t="str">
        <f>'t1'!A15</f>
        <v>POSIZIONE ECONOMICA B4</v>
      </c>
      <c r="B16" s="190" t="str">
        <f>'t1'!B15</f>
        <v>036000</v>
      </c>
      <c r="C16" s="346">
        <f>'t1'!K15</f>
        <v>0</v>
      </c>
      <c r="D16" s="346">
        <f>'t7'!W15</f>
        <v>0</v>
      </c>
      <c r="E16" s="347">
        <f>'t8'!AA15</f>
        <v>0</v>
      </c>
      <c r="F16" s="347">
        <f>'t9'!O15</f>
        <v>0</v>
      </c>
      <c r="G16" s="105" t="str">
        <f t="shared" si="0"/>
        <v>OK</v>
      </c>
      <c r="H16" s="347">
        <f>'t1'!L15</f>
        <v>0</v>
      </c>
      <c r="I16" s="347">
        <f>'t7'!X15</f>
        <v>0</v>
      </c>
      <c r="J16" s="347">
        <f>'t8'!AB15</f>
        <v>0</v>
      </c>
      <c r="K16" s="346">
        <f>'t9'!P15</f>
        <v>0</v>
      </c>
      <c r="L16" s="105" t="str">
        <f t="shared" si="1"/>
        <v>OK</v>
      </c>
    </row>
    <row r="17" spans="1:12" ht="12.75" customHeight="1">
      <c r="A17" s="141" t="str">
        <f>'t1'!A16</f>
        <v>POSIZIONE ECONOMICA B3</v>
      </c>
      <c r="B17" s="190" t="str">
        <f>'t1'!B16</f>
        <v>034000</v>
      </c>
      <c r="C17" s="346">
        <f>'t1'!K16</f>
        <v>0</v>
      </c>
      <c r="D17" s="346">
        <f>'t7'!W16</f>
        <v>0</v>
      </c>
      <c r="E17" s="347">
        <f>'t8'!AA16</f>
        <v>0</v>
      </c>
      <c r="F17" s="347">
        <f>'t9'!O16</f>
        <v>0</v>
      </c>
      <c r="G17" s="105" t="str">
        <f t="shared" si="0"/>
        <v>OK</v>
      </c>
      <c r="H17" s="347">
        <f>'t1'!L16</f>
        <v>0</v>
      </c>
      <c r="I17" s="347">
        <f>'t7'!X16</f>
        <v>0</v>
      </c>
      <c r="J17" s="347">
        <f>'t8'!AB16</f>
        <v>0</v>
      </c>
      <c r="K17" s="346">
        <f>'t9'!P16</f>
        <v>0</v>
      </c>
      <c r="L17" s="105" t="str">
        <f t="shared" si="1"/>
        <v>OK</v>
      </c>
    </row>
    <row r="18" spans="1:12" ht="12.75" customHeight="1">
      <c r="A18" s="141" t="str">
        <f>'t1'!A17</f>
        <v>POSIZIONE ECONOMICA B2</v>
      </c>
      <c r="B18" s="190" t="str">
        <f>'t1'!B17</f>
        <v>032000</v>
      </c>
      <c r="C18" s="346">
        <f>'t1'!K17</f>
        <v>0</v>
      </c>
      <c r="D18" s="346">
        <f>'t7'!W17</f>
        <v>0</v>
      </c>
      <c r="E18" s="347">
        <f>'t8'!AA17</f>
        <v>0</v>
      </c>
      <c r="F18" s="347">
        <f>'t9'!O17</f>
        <v>0</v>
      </c>
      <c r="G18" s="105" t="str">
        <f t="shared" si="0"/>
        <v>OK</v>
      </c>
      <c r="H18" s="347">
        <f>'t1'!L17</f>
        <v>0</v>
      </c>
      <c r="I18" s="347">
        <f>'t7'!X17</f>
        <v>0</v>
      </c>
      <c r="J18" s="347">
        <f>'t8'!AB17</f>
        <v>0</v>
      </c>
      <c r="K18" s="346">
        <f>'t9'!P17</f>
        <v>0</v>
      </c>
      <c r="L18" s="105" t="str">
        <f t="shared" si="1"/>
        <v>OK</v>
      </c>
    </row>
    <row r="19" spans="1:12" ht="12.75" customHeight="1">
      <c r="A19" s="141" t="str">
        <f>'t1'!A18</f>
        <v>POSIZIONE ECONOMICA B1</v>
      </c>
      <c r="B19" s="190" t="str">
        <f>'t1'!B18</f>
        <v>030000</v>
      </c>
      <c r="C19" s="346">
        <f>'t1'!K18</f>
        <v>0</v>
      </c>
      <c r="D19" s="346">
        <f>'t7'!W18</f>
        <v>0</v>
      </c>
      <c r="E19" s="347">
        <f>'t8'!AA18</f>
        <v>0</v>
      </c>
      <c r="F19" s="347">
        <f>'t9'!O18</f>
        <v>0</v>
      </c>
      <c r="G19" s="105" t="str">
        <f t="shared" si="0"/>
        <v>OK</v>
      </c>
      <c r="H19" s="347">
        <f>'t1'!L18</f>
        <v>0</v>
      </c>
      <c r="I19" s="347">
        <f>'t7'!X18</f>
        <v>0</v>
      </c>
      <c r="J19" s="347">
        <f>'t8'!AB18</f>
        <v>0</v>
      </c>
      <c r="K19" s="346">
        <f>'t9'!P18</f>
        <v>0</v>
      </c>
      <c r="L19" s="105" t="str">
        <f t="shared" si="1"/>
        <v>OK</v>
      </c>
    </row>
    <row r="20" spans="1:12" ht="12.75" customHeight="1">
      <c r="A20" s="141" t="str">
        <f>'t1'!A19</f>
        <v>POSIZIONE ECONOMICA A3</v>
      </c>
      <c r="B20" s="190" t="str">
        <f>'t1'!B19</f>
        <v>027000</v>
      </c>
      <c r="C20" s="346">
        <f>'t1'!K19</f>
        <v>0</v>
      </c>
      <c r="D20" s="346">
        <f>'t7'!W19</f>
        <v>0</v>
      </c>
      <c r="E20" s="347">
        <f>'t8'!AA19</f>
        <v>0</v>
      </c>
      <c r="F20" s="347">
        <f>'t9'!O19</f>
        <v>0</v>
      </c>
      <c r="G20" s="105" t="str">
        <f t="shared" si="0"/>
        <v>OK</v>
      </c>
      <c r="H20" s="347">
        <f>'t1'!L19</f>
        <v>0</v>
      </c>
      <c r="I20" s="347">
        <f>'t7'!X19</f>
        <v>0</v>
      </c>
      <c r="J20" s="347">
        <f>'t8'!AB19</f>
        <v>0</v>
      </c>
      <c r="K20" s="346">
        <f>'t9'!P19</f>
        <v>0</v>
      </c>
      <c r="L20" s="105" t="str">
        <f t="shared" si="1"/>
        <v>OK</v>
      </c>
    </row>
    <row r="21" spans="1:12" ht="12.75" customHeight="1">
      <c r="A21" s="141" t="str">
        <f>'t1'!A20</f>
        <v>POSIZIONE ECONOMICA A2</v>
      </c>
      <c r="B21" s="190" t="str">
        <f>'t1'!B20</f>
        <v>025000</v>
      </c>
      <c r="C21" s="346">
        <f>'t1'!K20</f>
        <v>0</v>
      </c>
      <c r="D21" s="346">
        <f>'t7'!W20</f>
        <v>0</v>
      </c>
      <c r="E21" s="347">
        <f>'t8'!AA20</f>
        <v>0</v>
      </c>
      <c r="F21" s="347">
        <f>'t9'!O20</f>
        <v>0</v>
      </c>
      <c r="G21" s="105" t="str">
        <f t="shared" si="0"/>
        <v>OK</v>
      </c>
      <c r="H21" s="347">
        <f>'t1'!L20</f>
        <v>0</v>
      </c>
      <c r="I21" s="347">
        <f>'t7'!X20</f>
        <v>0</v>
      </c>
      <c r="J21" s="347">
        <f>'t8'!AB20</f>
        <v>0</v>
      </c>
      <c r="K21" s="346">
        <f>'t9'!P20</f>
        <v>0</v>
      </c>
      <c r="L21" s="105" t="str">
        <f t="shared" si="1"/>
        <v>OK</v>
      </c>
    </row>
    <row r="22" spans="1:12" ht="12.75" customHeight="1">
      <c r="A22" s="141" t="str">
        <f>'t1'!A21</f>
        <v>POSIZIONE ECONOMICA A1</v>
      </c>
      <c r="B22" s="190" t="str">
        <f>'t1'!B21</f>
        <v>023000</v>
      </c>
      <c r="C22" s="346">
        <f>'t1'!K21</f>
        <v>0</v>
      </c>
      <c r="D22" s="346">
        <f>'t7'!W21</f>
        <v>0</v>
      </c>
      <c r="E22" s="347">
        <f>'t8'!AA21</f>
        <v>0</v>
      </c>
      <c r="F22" s="347">
        <f>'t9'!O21</f>
        <v>0</v>
      </c>
      <c r="G22" s="105" t="str">
        <f t="shared" si="0"/>
        <v>OK</v>
      </c>
      <c r="H22" s="347">
        <f>'t1'!L21</f>
        <v>0</v>
      </c>
      <c r="I22" s="347">
        <f>'t7'!X21</f>
        <v>0</v>
      </c>
      <c r="J22" s="347">
        <f>'t8'!AB21</f>
        <v>0</v>
      </c>
      <c r="K22" s="346">
        <f>'t9'!P21</f>
        <v>0</v>
      </c>
      <c r="L22" s="105" t="str">
        <f t="shared" si="1"/>
        <v>OK</v>
      </c>
    </row>
    <row r="23" spans="1:12" ht="12.75" customHeight="1">
      <c r="A23" s="141" t="str">
        <f>'t1'!A22</f>
        <v>CONTRATTISTI (a)</v>
      </c>
      <c r="B23" s="190" t="str">
        <f>'t1'!B22</f>
        <v>000061</v>
      </c>
      <c r="C23" s="346">
        <f>'t1'!K22</f>
        <v>0</v>
      </c>
      <c r="D23" s="346">
        <f>'t7'!W22</f>
        <v>0</v>
      </c>
      <c r="E23" s="347">
        <f>'t8'!AA22</f>
        <v>0</v>
      </c>
      <c r="F23" s="347">
        <f>'t9'!O22</f>
        <v>0</v>
      </c>
      <c r="G23" s="105" t="str">
        <f t="shared" si="0"/>
        <v>OK</v>
      </c>
      <c r="H23" s="347">
        <f>'t1'!L22</f>
        <v>0</v>
      </c>
      <c r="I23" s="347">
        <f>'t7'!X22</f>
        <v>0</v>
      </c>
      <c r="J23" s="347">
        <f>'t8'!AB22</f>
        <v>0</v>
      </c>
      <c r="K23" s="346">
        <f>'t9'!P22</f>
        <v>0</v>
      </c>
      <c r="L23" s="105" t="str">
        <f t="shared" si="1"/>
        <v>OK</v>
      </c>
    </row>
    <row r="24" spans="1:12" ht="15.75" customHeight="1">
      <c r="A24" s="141" t="str">
        <f>'t1'!A23</f>
        <v>TOTALE</v>
      </c>
      <c r="B24" s="180"/>
      <c r="C24" s="347">
        <f>SUM(C7:C23)</f>
        <v>0</v>
      </c>
      <c r="D24" s="347">
        <f>SUM(D7:D23)</f>
        <v>0</v>
      </c>
      <c r="E24" s="347">
        <f>SUM(E7:E23)</f>
        <v>0</v>
      </c>
      <c r="F24" s="347">
        <f>SUM(F7:F23)</f>
        <v>0</v>
      </c>
      <c r="G24" s="105" t="str">
        <f>IF(COUNTIF(C24:F24,C24)=4,"OK","ERRORE")</f>
        <v>OK</v>
      </c>
      <c r="H24" s="347">
        <f>SUM(H7:H23)</f>
        <v>0</v>
      </c>
      <c r="I24" s="347">
        <f>SUM(I7:I23)</f>
        <v>0</v>
      </c>
      <c r="J24" s="347">
        <f>SUM(J7:J23)</f>
        <v>0</v>
      </c>
      <c r="K24" s="347">
        <f>SUM(K7:K23)</f>
        <v>0</v>
      </c>
      <c r="L24" s="105" t="str">
        <f>IF(COUNTIF(H24:K24,H24)=4,"OK","ERRORE")</f>
        <v>OK</v>
      </c>
    </row>
  </sheetData>
  <sheetProtection password="EA98" sheet="1" formatColumns="0" selectLockedCells="1" selectUnlockedCells="1"/>
  <mergeCells count="4">
    <mergeCell ref="C4:G4"/>
    <mergeCell ref="H4:L4"/>
    <mergeCell ref="E2:L2"/>
    <mergeCell ref="A1:J1"/>
  </mergeCells>
  <printOptions horizontalCentered="1" verticalCentered="1"/>
  <pageMargins left="0" right="0" top="0.15748031496062992" bottom="0.15748031496062992" header="0.1968503937007874" footer="0.15748031496062992"/>
  <pageSetup horizontalDpi="300" verticalDpi="300" orientation="landscape" paperSize="9" scale="80" r:id="rId1"/>
</worksheet>
</file>

<file path=xl/worksheets/sheet27.xml><?xml version="1.0" encoding="utf-8"?>
<worksheet xmlns="http://schemas.openxmlformats.org/spreadsheetml/2006/main" xmlns:r="http://schemas.openxmlformats.org/officeDocument/2006/relationships">
  <sheetPr codeName="Foglio24">
    <tabColor indexed="10"/>
  </sheetPr>
  <dimension ref="A1:AB25"/>
  <sheetViews>
    <sheetView showGridLines="0" zoomScalePageLayoutView="0" workbookViewId="0" topLeftCell="A1">
      <pane xSplit="2" ySplit="7" topLeftCell="C8" activePane="bottomRight" state="frozen"/>
      <selection pane="topLeft" activeCell="A2" sqref="A2"/>
      <selection pane="topRight" activeCell="A2" sqref="A2"/>
      <selection pane="bottomLeft" activeCell="A2" sqref="A2"/>
      <selection pane="bottomRight" activeCell="B7" sqref="B7"/>
    </sheetView>
  </sheetViews>
  <sheetFormatPr defaultColWidth="9.33203125" defaultRowHeight="10.5"/>
  <cols>
    <col min="1" max="1" width="37.33203125" style="5" customWidth="1"/>
    <col min="2" max="2" width="11" style="7" customWidth="1"/>
    <col min="3" max="3" width="10.83203125" style="7" customWidth="1"/>
    <col min="4" max="5" width="12.83203125" style="7" customWidth="1"/>
    <col min="6" max="6" width="13.66015625" style="7" customWidth="1"/>
    <col min="7" max="11" width="12.83203125" style="7" customWidth="1"/>
    <col min="12" max="14" width="13.33203125" style="7" customWidth="1"/>
    <col min="15" max="15" width="12.66015625" style="7" bestFit="1" customWidth="1"/>
    <col min="16" max="16" width="10.83203125" style="7" customWidth="1"/>
    <col min="17" max="24" width="12.83203125" style="7" customWidth="1"/>
    <col min="25" max="27" width="13.33203125" style="7" customWidth="1"/>
    <col min="28" max="28" width="12.66015625" style="7" bestFit="1" customWidth="1"/>
    <col min="29" max="16384" width="9.33203125" style="5" customWidth="1"/>
  </cols>
  <sheetData>
    <row r="1" spans="1:28" ht="30" customHeight="1">
      <c r="A1" s="1349" t="str">
        <f>'t1'!A1</f>
        <v>CNEL - anno 2018</v>
      </c>
      <c r="B1" s="1349"/>
      <c r="C1" s="1349"/>
      <c r="D1" s="1349"/>
      <c r="E1" s="1349"/>
      <c r="F1" s="1349"/>
      <c r="G1" s="1349"/>
      <c r="H1" s="1349"/>
      <c r="I1" s="1349"/>
      <c r="J1" s="1349"/>
      <c r="K1" s="1349"/>
      <c r="L1" s="1349"/>
      <c r="M1" s="1349"/>
      <c r="N1" s="1349"/>
      <c r="O1" s="1349"/>
      <c r="P1" s="1349"/>
      <c r="Q1" s="1349"/>
      <c r="R1" s="1349"/>
      <c r="S1" s="1349"/>
      <c r="T1" s="1349"/>
      <c r="U1" s="1349"/>
      <c r="V1" s="1349"/>
      <c r="W1" s="1349"/>
      <c r="X1" s="1349"/>
      <c r="Y1" s="1349"/>
      <c r="Z1" s="5"/>
      <c r="AA1" s="5"/>
      <c r="AB1" s="753"/>
    </row>
    <row r="2" spans="1:28" ht="36" customHeight="1">
      <c r="A2" s="1446" t="s">
        <v>624</v>
      </c>
      <c r="B2" s="1446"/>
      <c r="C2" s="1446"/>
      <c r="D2" s="1446"/>
      <c r="E2" s="1446"/>
      <c r="F2" s="1446"/>
      <c r="G2" s="1446"/>
      <c r="H2" s="1446"/>
      <c r="I2" s="1446"/>
      <c r="J2" s="1446"/>
      <c r="K2" s="1446"/>
      <c r="L2" s="1446"/>
      <c r="M2" s="1446"/>
      <c r="N2" s="842"/>
      <c r="O2" s="499"/>
      <c r="P2" s="499"/>
      <c r="Q2" s="499"/>
      <c r="R2" s="499"/>
      <c r="S2" s="499"/>
      <c r="T2" s="499"/>
      <c r="U2" s="499"/>
      <c r="V2" s="499"/>
      <c r="W2" s="499"/>
      <c r="X2" s="499"/>
      <c r="Y2" s="499"/>
      <c r="Z2" s="499"/>
      <c r="AA2" s="842"/>
      <c r="AB2" s="499"/>
    </row>
    <row r="3" spans="1:28" ht="18.75" customHeight="1">
      <c r="A3" s="200" t="str">
        <f>"Tavola di coerenza tra presenti al 31.12."&amp;'t1'!L1&amp;" rilevati in Tabella 1 con il personale rilevato in Tabella 3 e con i presenti rilevati in Tabella 10 (Squadratura 3)(*)"</f>
        <v>Tavola di coerenza tra presenti al 31.12.2018 rilevati in Tabella 1 con il personale rilevato in Tabella 3 e con i presenti rilevati in Tabella 10 (Squadratura 3)(*)</v>
      </c>
      <c r="C3" s="5"/>
      <c r="D3" s="5"/>
      <c r="E3" s="5"/>
      <c r="F3" s="5"/>
      <c r="G3" s="5"/>
      <c r="H3" s="5"/>
      <c r="I3" s="5"/>
      <c r="J3" s="5"/>
      <c r="K3" s="5"/>
      <c r="L3" s="5"/>
      <c r="M3" s="5"/>
      <c r="N3" s="5"/>
      <c r="O3" s="5"/>
      <c r="P3" s="5"/>
      <c r="Q3" s="5"/>
      <c r="R3" s="5"/>
      <c r="S3" s="5"/>
      <c r="T3" s="5"/>
      <c r="U3" s="5"/>
      <c r="V3" s="5"/>
      <c r="W3" s="5"/>
      <c r="X3" s="5"/>
      <c r="Y3" s="5"/>
      <c r="Z3" s="5"/>
      <c r="AA3" s="5"/>
      <c r="AB3" s="5"/>
    </row>
    <row r="4" spans="1:28" ht="11.25">
      <c r="A4" s="323" t="s">
        <v>231</v>
      </c>
      <c r="C4" s="5"/>
      <c r="D4" s="5"/>
      <c r="E4" s="5"/>
      <c r="F4" s="5"/>
      <c r="G4" s="5"/>
      <c r="H4" s="5"/>
      <c r="I4" s="5"/>
      <c r="J4" s="5"/>
      <c r="K4" s="5"/>
      <c r="L4" s="5"/>
      <c r="M4" s="5"/>
      <c r="N4" s="5"/>
      <c r="O4" s="5"/>
      <c r="P4" s="5"/>
      <c r="Q4" s="5"/>
      <c r="R4" s="5"/>
      <c r="S4" s="5"/>
      <c r="T4" s="5"/>
      <c r="U4" s="5"/>
      <c r="V4" s="5"/>
      <c r="W4" s="5"/>
      <c r="X4" s="5"/>
      <c r="Y4" s="5"/>
      <c r="Z4" s="5"/>
      <c r="AA4" s="5"/>
      <c r="AB4" s="5"/>
    </row>
    <row r="5" spans="1:28" ht="12.75">
      <c r="A5" s="184"/>
      <c r="B5" s="181"/>
      <c r="C5" s="1443" t="s">
        <v>261</v>
      </c>
      <c r="D5" s="1444"/>
      <c r="E5" s="1444"/>
      <c r="F5" s="1444"/>
      <c r="G5" s="1444"/>
      <c r="H5" s="1444"/>
      <c r="I5" s="1444"/>
      <c r="J5" s="1444"/>
      <c r="K5" s="1444"/>
      <c r="L5" s="1444"/>
      <c r="M5" s="1444"/>
      <c r="N5" s="1444"/>
      <c r="O5" s="1444"/>
      <c r="P5" s="1443" t="s">
        <v>262</v>
      </c>
      <c r="Q5" s="1444"/>
      <c r="R5" s="1444"/>
      <c r="S5" s="1444"/>
      <c r="T5" s="1444"/>
      <c r="U5" s="1444"/>
      <c r="V5" s="1444"/>
      <c r="W5" s="1444"/>
      <c r="X5" s="1444"/>
      <c r="Y5" s="1444"/>
      <c r="Z5" s="1444"/>
      <c r="AA5" s="1444"/>
      <c r="AB5" s="1445"/>
    </row>
    <row r="6" spans="1:28" s="199" customFormat="1" ht="64.5" customHeight="1">
      <c r="A6" s="188" t="s">
        <v>201</v>
      </c>
      <c r="B6" s="188" t="s">
        <v>200</v>
      </c>
      <c r="C6" s="188" t="str">
        <f>"Presenti 31.12."&amp;'t1'!L1&amp;" (Tab 1)"</f>
        <v>Presenti 31.12.2018 (Tab 1)</v>
      </c>
      <c r="D6" s="188" t="s">
        <v>214</v>
      </c>
      <c r="E6" s="188" t="s">
        <v>213</v>
      </c>
      <c r="F6" s="188" t="s">
        <v>330</v>
      </c>
      <c r="G6" s="188" t="s">
        <v>230</v>
      </c>
      <c r="H6" s="188" t="s">
        <v>215</v>
      </c>
      <c r="I6" s="188" t="s">
        <v>331</v>
      </c>
      <c r="J6" s="640" t="s">
        <v>777</v>
      </c>
      <c r="K6" s="640" t="s">
        <v>778</v>
      </c>
      <c r="L6" s="188" t="s">
        <v>232</v>
      </c>
      <c r="M6" s="188" t="s">
        <v>233</v>
      </c>
      <c r="N6" s="640" t="s">
        <v>619</v>
      </c>
      <c r="O6" s="640" t="s">
        <v>620</v>
      </c>
      <c r="P6" s="188" t="str">
        <f>"Presenti 31.12."&amp;'t1'!L1&amp;" (Tab 1)"</f>
        <v>Presenti 31.12.2018 (Tab 1)</v>
      </c>
      <c r="Q6" s="188" t="s">
        <v>214</v>
      </c>
      <c r="R6" s="188" t="s">
        <v>213</v>
      </c>
      <c r="S6" s="188" t="s">
        <v>330</v>
      </c>
      <c r="T6" s="188" t="s">
        <v>230</v>
      </c>
      <c r="U6" s="188" t="s">
        <v>215</v>
      </c>
      <c r="V6" s="188" t="s">
        <v>331</v>
      </c>
      <c r="W6" s="640" t="s">
        <v>777</v>
      </c>
      <c r="X6" s="640" t="s">
        <v>778</v>
      </c>
      <c r="Y6" s="188" t="s">
        <v>232</v>
      </c>
      <c r="Z6" s="188" t="s">
        <v>233</v>
      </c>
      <c r="AA6" s="640" t="s">
        <v>619</v>
      </c>
      <c r="AB6" s="640" t="s">
        <v>620</v>
      </c>
    </row>
    <row r="7" spans="1:28" s="197" customFormat="1" ht="20.25">
      <c r="A7" s="196"/>
      <c r="B7" s="196"/>
      <c r="C7" s="193" t="s">
        <v>202</v>
      </c>
      <c r="D7" s="193" t="s">
        <v>203</v>
      </c>
      <c r="E7" s="193" t="s">
        <v>204</v>
      </c>
      <c r="F7" s="193" t="s">
        <v>205</v>
      </c>
      <c r="G7" s="194" t="s">
        <v>206</v>
      </c>
      <c r="H7" s="194" t="s">
        <v>226</v>
      </c>
      <c r="I7" s="194" t="s">
        <v>208</v>
      </c>
      <c r="J7" s="194" t="s">
        <v>216</v>
      </c>
      <c r="K7" s="194" t="s">
        <v>217</v>
      </c>
      <c r="L7" s="194" t="s">
        <v>6</v>
      </c>
      <c r="M7" s="194" t="s">
        <v>7</v>
      </c>
      <c r="N7" s="194" t="s">
        <v>622</v>
      </c>
      <c r="O7" s="194" t="s">
        <v>8</v>
      </c>
      <c r="P7" s="193" t="s">
        <v>218</v>
      </c>
      <c r="Q7" s="193" t="s">
        <v>219</v>
      </c>
      <c r="R7" s="193" t="s">
        <v>220</v>
      </c>
      <c r="S7" s="193" t="s">
        <v>332</v>
      </c>
      <c r="T7" s="194" t="s">
        <v>221</v>
      </c>
      <c r="U7" s="194" t="s">
        <v>333</v>
      </c>
      <c r="V7" s="194" t="s">
        <v>334</v>
      </c>
      <c r="W7" s="194" t="s">
        <v>9</v>
      </c>
      <c r="X7" s="194" t="s">
        <v>335</v>
      </c>
      <c r="Y7" s="194" t="s">
        <v>10</v>
      </c>
      <c r="Z7" s="194" t="s">
        <v>11</v>
      </c>
      <c r="AA7" s="194" t="s">
        <v>621</v>
      </c>
      <c r="AB7" s="194" t="s">
        <v>12</v>
      </c>
    </row>
    <row r="8" spans="1:28" ht="12.75" customHeight="1">
      <c r="A8" s="141" t="str">
        <f>'t1'!A6</f>
        <v>DIRIGENTE I FASCIA</v>
      </c>
      <c r="B8" s="190" t="str">
        <f>'t1'!B6</f>
        <v>0D0077</v>
      </c>
      <c r="C8" s="346">
        <f>'t1'!K6</f>
        <v>0</v>
      </c>
      <c r="D8" s="346">
        <f>'t3'!M6</f>
        <v>0</v>
      </c>
      <c r="E8" s="347">
        <f>'t3'!O6</f>
        <v>0</v>
      </c>
      <c r="F8" s="347">
        <f>'t3'!Q6</f>
        <v>0</v>
      </c>
      <c r="G8" s="347">
        <f>'t3'!C6</f>
        <v>0</v>
      </c>
      <c r="H8" s="347">
        <f>'t3'!E6</f>
        <v>0</v>
      </c>
      <c r="I8" s="347">
        <f>'t3'!G6</f>
        <v>0</v>
      </c>
      <c r="J8" s="347">
        <f>'t3'!I6</f>
        <v>0</v>
      </c>
      <c r="K8" s="347">
        <f>'t3'!K6</f>
        <v>0</v>
      </c>
      <c r="L8" s="347">
        <f>C8+D8+E8+F8-G8-H8-I8-J8-K8</f>
        <v>0</v>
      </c>
      <c r="M8" s="347">
        <f>'t10'!AU6</f>
        <v>0</v>
      </c>
      <c r="N8" s="347" t="str">
        <f>IF(C8&lt;(G8+H8+I8+J8+K8),"ERRORE","OK")</f>
        <v>OK</v>
      </c>
      <c r="O8" s="105" t="str">
        <f>IF(L8=M8,"OK","ERRORE")</f>
        <v>OK</v>
      </c>
      <c r="P8" s="346">
        <f>'t1'!L6</f>
        <v>0</v>
      </c>
      <c r="Q8" s="346">
        <f>'t3'!N6</f>
        <v>0</v>
      </c>
      <c r="R8" s="347">
        <f>'t3'!P6</f>
        <v>0</v>
      </c>
      <c r="S8" s="347">
        <f>'t3'!R6</f>
        <v>0</v>
      </c>
      <c r="T8" s="347">
        <f>'t3'!D6</f>
        <v>0</v>
      </c>
      <c r="U8" s="347">
        <f>'t3'!F6</f>
        <v>0</v>
      </c>
      <c r="V8" s="347">
        <f>'t3'!H6</f>
        <v>0</v>
      </c>
      <c r="W8" s="347">
        <f>'t3'!J6</f>
        <v>0</v>
      </c>
      <c r="X8" s="347">
        <f>'t3'!L6</f>
        <v>0</v>
      </c>
      <c r="Y8" s="347">
        <f aca="true" t="shared" si="0" ref="Y8:Y24">P8+Q8+R8+S8-T8-U8-V8-W8-X8</f>
        <v>0</v>
      </c>
      <c r="Z8" s="347">
        <f>'t10'!AV6</f>
        <v>0</v>
      </c>
      <c r="AA8" s="347" t="str">
        <f>IF(P8&lt;(T8+U8+V8+W8+X8),"ERRORE","OK")</f>
        <v>OK</v>
      </c>
      <c r="AB8" s="195" t="str">
        <f>IF(Y8=Z8,"OK","ERRORE")</f>
        <v>OK</v>
      </c>
    </row>
    <row r="9" spans="1:28" ht="12.75" customHeight="1">
      <c r="A9" s="141" t="str">
        <f>'t1'!A7</f>
        <v>DIRIGENTE I FASCIA A TEMPO DETERM.</v>
      </c>
      <c r="B9" s="190" t="str">
        <f>'t1'!B7</f>
        <v>0D0078</v>
      </c>
      <c r="C9" s="346">
        <f>'t1'!K7</f>
        <v>0</v>
      </c>
      <c r="D9" s="346">
        <f>'t3'!M7</f>
        <v>0</v>
      </c>
      <c r="E9" s="347">
        <f>'t3'!O7</f>
        <v>0</v>
      </c>
      <c r="F9" s="347">
        <f>'t3'!Q7</f>
        <v>0</v>
      </c>
      <c r="G9" s="347">
        <f>'t3'!C7</f>
        <v>0</v>
      </c>
      <c r="H9" s="347">
        <f>'t3'!E7</f>
        <v>0</v>
      </c>
      <c r="I9" s="347">
        <f>'t3'!G7</f>
        <v>0</v>
      </c>
      <c r="J9" s="347">
        <f>'t3'!I7</f>
        <v>0</v>
      </c>
      <c r="K9" s="347">
        <f>'t3'!K7</f>
        <v>0</v>
      </c>
      <c r="L9" s="347">
        <f aca="true" t="shared" si="1" ref="L9:L24">C9+D9+E9+F9-G9-H9-I9-J9-K9</f>
        <v>0</v>
      </c>
      <c r="M9" s="347">
        <f>'t10'!AU7</f>
        <v>0</v>
      </c>
      <c r="N9" s="347" t="str">
        <f aca="true" t="shared" si="2" ref="N9:N25">IF(C9&lt;(G9+H9+I9+J9+K9),"ERRORE","OK")</f>
        <v>OK</v>
      </c>
      <c r="O9" s="105" t="str">
        <f aca="true" t="shared" si="3" ref="O9:O25">IF(L9=M9,"OK","ERRORE")</f>
        <v>OK</v>
      </c>
      <c r="P9" s="346">
        <f>'t1'!L7</f>
        <v>0</v>
      </c>
      <c r="Q9" s="346">
        <f>'t3'!N7</f>
        <v>0</v>
      </c>
      <c r="R9" s="347">
        <f>'t3'!P7</f>
        <v>0</v>
      </c>
      <c r="S9" s="347">
        <f>'t3'!R7</f>
        <v>0</v>
      </c>
      <c r="T9" s="347">
        <f>'t3'!D7</f>
        <v>0</v>
      </c>
      <c r="U9" s="347">
        <f>'t3'!F7</f>
        <v>0</v>
      </c>
      <c r="V9" s="347">
        <f>'t3'!H7</f>
        <v>0</v>
      </c>
      <c r="W9" s="347">
        <f>'t3'!J7</f>
        <v>0</v>
      </c>
      <c r="X9" s="347">
        <f>'t3'!L7</f>
        <v>0</v>
      </c>
      <c r="Y9" s="347">
        <f t="shared" si="0"/>
        <v>0</v>
      </c>
      <c r="Z9" s="347">
        <f>'t10'!AV7</f>
        <v>0</v>
      </c>
      <c r="AA9" s="347" t="str">
        <f aca="true" t="shared" si="4" ref="AA9:AA25">IF(P9&lt;(T9+U9+V9+W9+X9),"ERRORE","OK")</f>
        <v>OK</v>
      </c>
      <c r="AB9" s="195" t="str">
        <f aca="true" t="shared" si="5" ref="AB9:AB25">IF(Y9=Z9,"OK","ERRORE")</f>
        <v>OK</v>
      </c>
    </row>
    <row r="10" spans="1:28" ht="12.75" customHeight="1">
      <c r="A10" s="141" t="str">
        <f>'t1'!A8</f>
        <v>DIRIGENTE II FASCIA</v>
      </c>
      <c r="B10" s="190" t="str">
        <f>'t1'!B8</f>
        <v>0D0079</v>
      </c>
      <c r="C10" s="346">
        <f>'t1'!K8</f>
        <v>0</v>
      </c>
      <c r="D10" s="346">
        <f>'t3'!M8</f>
        <v>0</v>
      </c>
      <c r="E10" s="347">
        <f>'t3'!O8</f>
        <v>0</v>
      </c>
      <c r="F10" s="347">
        <f>'t3'!Q8</f>
        <v>0</v>
      </c>
      <c r="G10" s="347">
        <f>'t3'!C8</f>
        <v>0</v>
      </c>
      <c r="H10" s="347">
        <f>'t3'!E8</f>
        <v>0</v>
      </c>
      <c r="I10" s="347">
        <f>'t3'!G8</f>
        <v>0</v>
      </c>
      <c r="J10" s="347">
        <f>'t3'!I8</f>
        <v>0</v>
      </c>
      <c r="K10" s="347">
        <f>'t3'!K8</f>
        <v>0</v>
      </c>
      <c r="L10" s="347">
        <f t="shared" si="1"/>
        <v>0</v>
      </c>
      <c r="M10" s="347">
        <f>'t10'!AU8</f>
        <v>0</v>
      </c>
      <c r="N10" s="347" t="str">
        <f t="shared" si="2"/>
        <v>OK</v>
      </c>
      <c r="O10" s="105" t="str">
        <f t="shared" si="3"/>
        <v>OK</v>
      </c>
      <c r="P10" s="346">
        <f>'t1'!L8</f>
        <v>0</v>
      </c>
      <c r="Q10" s="346">
        <f>'t3'!N8</f>
        <v>0</v>
      </c>
      <c r="R10" s="347">
        <f>'t3'!P8</f>
        <v>0</v>
      </c>
      <c r="S10" s="347">
        <f>'t3'!R8</f>
        <v>0</v>
      </c>
      <c r="T10" s="347">
        <f>'t3'!D8</f>
        <v>0</v>
      </c>
      <c r="U10" s="347">
        <f>'t3'!F8</f>
        <v>0</v>
      </c>
      <c r="V10" s="347">
        <f>'t3'!H8</f>
        <v>0</v>
      </c>
      <c r="W10" s="347">
        <f>'t3'!J8</f>
        <v>0</v>
      </c>
      <c r="X10" s="347">
        <f>'t3'!L8</f>
        <v>0</v>
      </c>
      <c r="Y10" s="347">
        <f t="shared" si="0"/>
        <v>0</v>
      </c>
      <c r="Z10" s="347">
        <f>'t10'!AV8</f>
        <v>0</v>
      </c>
      <c r="AA10" s="347" t="str">
        <f t="shared" si="4"/>
        <v>OK</v>
      </c>
      <c r="AB10" s="195" t="str">
        <f t="shared" si="5"/>
        <v>OK</v>
      </c>
    </row>
    <row r="11" spans="1:28" ht="12.75" customHeight="1">
      <c r="A11" s="141" t="str">
        <f>'t1'!A9</f>
        <v>DIRIGENTE II FASCIA A TEMPO DETERM.</v>
      </c>
      <c r="B11" s="190" t="str">
        <f>'t1'!B9</f>
        <v>0D0080</v>
      </c>
      <c r="C11" s="346">
        <f>'t1'!K9</f>
        <v>0</v>
      </c>
      <c r="D11" s="346">
        <f>'t3'!M9</f>
        <v>0</v>
      </c>
      <c r="E11" s="347">
        <f>'t3'!O9</f>
        <v>0</v>
      </c>
      <c r="F11" s="347">
        <f>'t3'!Q9</f>
        <v>0</v>
      </c>
      <c r="G11" s="347">
        <f>'t3'!C9</f>
        <v>0</v>
      </c>
      <c r="H11" s="347">
        <f>'t3'!E9</f>
        <v>0</v>
      </c>
      <c r="I11" s="347">
        <f>'t3'!G9</f>
        <v>0</v>
      </c>
      <c r="J11" s="347">
        <f>'t3'!I9</f>
        <v>0</v>
      </c>
      <c r="K11" s="347">
        <f>'t3'!K9</f>
        <v>0</v>
      </c>
      <c r="L11" s="347">
        <f t="shared" si="1"/>
        <v>0</v>
      </c>
      <c r="M11" s="347">
        <f>'t10'!AU9</f>
        <v>0</v>
      </c>
      <c r="N11" s="347" t="str">
        <f t="shared" si="2"/>
        <v>OK</v>
      </c>
      <c r="O11" s="105" t="str">
        <f t="shared" si="3"/>
        <v>OK</v>
      </c>
      <c r="P11" s="346">
        <f>'t1'!L9</f>
        <v>0</v>
      </c>
      <c r="Q11" s="346">
        <f>'t3'!N9</f>
        <v>0</v>
      </c>
      <c r="R11" s="347">
        <f>'t3'!P9</f>
        <v>0</v>
      </c>
      <c r="S11" s="347">
        <f>'t3'!R9</f>
        <v>0</v>
      </c>
      <c r="T11" s="347">
        <f>'t3'!D9</f>
        <v>0</v>
      </c>
      <c r="U11" s="347">
        <f>'t3'!F9</f>
        <v>0</v>
      </c>
      <c r="V11" s="347">
        <f>'t3'!H9</f>
        <v>0</v>
      </c>
      <c r="W11" s="347">
        <f>'t3'!J9</f>
        <v>0</v>
      </c>
      <c r="X11" s="347">
        <f>'t3'!L9</f>
        <v>0</v>
      </c>
      <c r="Y11" s="347">
        <f t="shared" si="0"/>
        <v>0</v>
      </c>
      <c r="Z11" s="347">
        <f>'t10'!AV9</f>
        <v>0</v>
      </c>
      <c r="AA11" s="347" t="str">
        <f t="shared" si="4"/>
        <v>OK</v>
      </c>
      <c r="AB11" s="195" t="str">
        <f t="shared" si="5"/>
        <v>OK</v>
      </c>
    </row>
    <row r="12" spans="1:28" ht="12.75" customHeight="1">
      <c r="A12" s="141" t="str">
        <f>'t1'!A10</f>
        <v>POSIZIONE ECONOMICA C5</v>
      </c>
      <c r="B12" s="190" t="str">
        <f>'t1'!B10</f>
        <v>046000</v>
      </c>
      <c r="C12" s="346">
        <f>'t1'!K10</f>
        <v>0</v>
      </c>
      <c r="D12" s="346">
        <f>'t3'!M10</f>
        <v>0</v>
      </c>
      <c r="E12" s="347">
        <f>'t3'!O10</f>
        <v>0</v>
      </c>
      <c r="F12" s="347">
        <f>'t3'!Q10</f>
        <v>0</v>
      </c>
      <c r="G12" s="347">
        <f>'t3'!C10</f>
        <v>0</v>
      </c>
      <c r="H12" s="347">
        <f>'t3'!E10</f>
        <v>0</v>
      </c>
      <c r="I12" s="347">
        <f>'t3'!G10</f>
        <v>0</v>
      </c>
      <c r="J12" s="347">
        <f>'t3'!I10</f>
        <v>0</v>
      </c>
      <c r="K12" s="347">
        <f>'t3'!K10</f>
        <v>0</v>
      </c>
      <c r="L12" s="347">
        <f t="shared" si="1"/>
        <v>0</v>
      </c>
      <c r="M12" s="347">
        <f>'t10'!AU10</f>
        <v>0</v>
      </c>
      <c r="N12" s="347" t="str">
        <f t="shared" si="2"/>
        <v>OK</v>
      </c>
      <c r="O12" s="105" t="str">
        <f t="shared" si="3"/>
        <v>OK</v>
      </c>
      <c r="P12" s="346">
        <f>'t1'!L10</f>
        <v>0</v>
      </c>
      <c r="Q12" s="346">
        <f>'t3'!N10</f>
        <v>0</v>
      </c>
      <c r="R12" s="347">
        <f>'t3'!P10</f>
        <v>0</v>
      </c>
      <c r="S12" s="347">
        <f>'t3'!R10</f>
        <v>0</v>
      </c>
      <c r="T12" s="347">
        <f>'t3'!D10</f>
        <v>0</v>
      </c>
      <c r="U12" s="347">
        <f>'t3'!F10</f>
        <v>0</v>
      </c>
      <c r="V12" s="347">
        <f>'t3'!H10</f>
        <v>0</v>
      </c>
      <c r="W12" s="347">
        <f>'t3'!J10</f>
        <v>0</v>
      </c>
      <c r="X12" s="347">
        <f>'t3'!L10</f>
        <v>0</v>
      </c>
      <c r="Y12" s="347">
        <f t="shared" si="0"/>
        <v>0</v>
      </c>
      <c r="Z12" s="347">
        <f>'t10'!AV10</f>
        <v>0</v>
      </c>
      <c r="AA12" s="347" t="str">
        <f t="shared" si="4"/>
        <v>OK</v>
      </c>
      <c r="AB12" s="195" t="str">
        <f t="shared" si="5"/>
        <v>OK</v>
      </c>
    </row>
    <row r="13" spans="1:28" ht="12.75" customHeight="1">
      <c r="A13" s="141" t="str">
        <f>'t1'!A11</f>
        <v>POSIZIONE ECONOMICA C4</v>
      </c>
      <c r="B13" s="190" t="str">
        <f>'t1'!B11</f>
        <v>045000</v>
      </c>
      <c r="C13" s="346">
        <f>'t1'!K11</f>
        <v>0</v>
      </c>
      <c r="D13" s="346">
        <f>'t3'!M11</f>
        <v>0</v>
      </c>
      <c r="E13" s="347">
        <f>'t3'!O11</f>
        <v>0</v>
      </c>
      <c r="F13" s="347">
        <f>'t3'!Q11</f>
        <v>0</v>
      </c>
      <c r="G13" s="347">
        <f>'t3'!C11</f>
        <v>0</v>
      </c>
      <c r="H13" s="347">
        <f>'t3'!E11</f>
        <v>0</v>
      </c>
      <c r="I13" s="347">
        <f>'t3'!G11</f>
        <v>0</v>
      </c>
      <c r="J13" s="347">
        <f>'t3'!I11</f>
        <v>0</v>
      </c>
      <c r="K13" s="347">
        <f>'t3'!K11</f>
        <v>0</v>
      </c>
      <c r="L13" s="347">
        <f t="shared" si="1"/>
        <v>0</v>
      </c>
      <c r="M13" s="347">
        <f>'t10'!AU11</f>
        <v>0</v>
      </c>
      <c r="N13" s="347" t="str">
        <f t="shared" si="2"/>
        <v>OK</v>
      </c>
      <c r="O13" s="105" t="str">
        <f t="shared" si="3"/>
        <v>OK</v>
      </c>
      <c r="P13" s="346">
        <f>'t1'!L11</f>
        <v>0</v>
      </c>
      <c r="Q13" s="346">
        <f>'t3'!N11</f>
        <v>0</v>
      </c>
      <c r="R13" s="347">
        <f>'t3'!P11</f>
        <v>0</v>
      </c>
      <c r="S13" s="347">
        <f>'t3'!R11</f>
        <v>0</v>
      </c>
      <c r="T13" s="347">
        <f>'t3'!D11</f>
        <v>0</v>
      </c>
      <c r="U13" s="347">
        <f>'t3'!F11</f>
        <v>0</v>
      </c>
      <c r="V13" s="347">
        <f>'t3'!H11</f>
        <v>0</v>
      </c>
      <c r="W13" s="347">
        <f>'t3'!J11</f>
        <v>0</v>
      </c>
      <c r="X13" s="347">
        <f>'t3'!L11</f>
        <v>0</v>
      </c>
      <c r="Y13" s="347">
        <f t="shared" si="0"/>
        <v>0</v>
      </c>
      <c r="Z13" s="347">
        <f>'t10'!AV11</f>
        <v>0</v>
      </c>
      <c r="AA13" s="347" t="str">
        <f t="shared" si="4"/>
        <v>OK</v>
      </c>
      <c r="AB13" s="195" t="str">
        <f t="shared" si="5"/>
        <v>OK</v>
      </c>
    </row>
    <row r="14" spans="1:28" ht="12.75" customHeight="1">
      <c r="A14" s="141" t="str">
        <f>'t1'!A12</f>
        <v>POSIZIONE ECONOMICA C3</v>
      </c>
      <c r="B14" s="190" t="str">
        <f>'t1'!B12</f>
        <v>043000</v>
      </c>
      <c r="C14" s="346">
        <f>'t1'!K12</f>
        <v>0</v>
      </c>
      <c r="D14" s="346">
        <f>'t3'!M12</f>
        <v>0</v>
      </c>
      <c r="E14" s="347">
        <f>'t3'!O12</f>
        <v>0</v>
      </c>
      <c r="F14" s="347">
        <f>'t3'!Q12</f>
        <v>0</v>
      </c>
      <c r="G14" s="347">
        <f>'t3'!C12</f>
        <v>0</v>
      </c>
      <c r="H14" s="347">
        <f>'t3'!E12</f>
        <v>0</v>
      </c>
      <c r="I14" s="347">
        <f>'t3'!G12</f>
        <v>0</v>
      </c>
      <c r="J14" s="347">
        <f>'t3'!I12</f>
        <v>0</v>
      </c>
      <c r="K14" s="347">
        <f>'t3'!K12</f>
        <v>0</v>
      </c>
      <c r="L14" s="347">
        <f t="shared" si="1"/>
        <v>0</v>
      </c>
      <c r="M14" s="347">
        <f>'t10'!AU12</f>
        <v>0</v>
      </c>
      <c r="N14" s="347" t="str">
        <f t="shared" si="2"/>
        <v>OK</v>
      </c>
      <c r="O14" s="105" t="str">
        <f t="shared" si="3"/>
        <v>OK</v>
      </c>
      <c r="P14" s="346">
        <f>'t1'!L12</f>
        <v>0</v>
      </c>
      <c r="Q14" s="346">
        <f>'t3'!N12</f>
        <v>0</v>
      </c>
      <c r="R14" s="347">
        <f>'t3'!P12</f>
        <v>0</v>
      </c>
      <c r="S14" s="347">
        <f>'t3'!R12</f>
        <v>0</v>
      </c>
      <c r="T14" s="347">
        <f>'t3'!D12</f>
        <v>0</v>
      </c>
      <c r="U14" s="347">
        <f>'t3'!F12</f>
        <v>0</v>
      </c>
      <c r="V14" s="347">
        <f>'t3'!H12</f>
        <v>0</v>
      </c>
      <c r="W14" s="347">
        <f>'t3'!J12</f>
        <v>0</v>
      </c>
      <c r="X14" s="347">
        <f>'t3'!L12</f>
        <v>0</v>
      </c>
      <c r="Y14" s="347">
        <f t="shared" si="0"/>
        <v>0</v>
      </c>
      <c r="Z14" s="347">
        <f>'t10'!AV12</f>
        <v>0</v>
      </c>
      <c r="AA14" s="347" t="str">
        <f t="shared" si="4"/>
        <v>OK</v>
      </c>
      <c r="AB14" s="195" t="str">
        <f t="shared" si="5"/>
        <v>OK</v>
      </c>
    </row>
    <row r="15" spans="1:28" ht="12.75" customHeight="1">
      <c r="A15" s="141" t="str">
        <f>'t1'!A13</f>
        <v>POSIZIONE ECONOMICA C2</v>
      </c>
      <c r="B15" s="190" t="str">
        <f>'t1'!B13</f>
        <v>042000</v>
      </c>
      <c r="C15" s="346">
        <f>'t1'!K13</f>
        <v>0</v>
      </c>
      <c r="D15" s="346">
        <f>'t3'!M13</f>
        <v>0</v>
      </c>
      <c r="E15" s="347">
        <f>'t3'!O13</f>
        <v>0</v>
      </c>
      <c r="F15" s="347">
        <f>'t3'!Q13</f>
        <v>0</v>
      </c>
      <c r="G15" s="347">
        <f>'t3'!C13</f>
        <v>0</v>
      </c>
      <c r="H15" s="347">
        <f>'t3'!E13</f>
        <v>0</v>
      </c>
      <c r="I15" s="347">
        <f>'t3'!G13</f>
        <v>0</v>
      </c>
      <c r="J15" s="347">
        <f>'t3'!I13</f>
        <v>0</v>
      </c>
      <c r="K15" s="347">
        <f>'t3'!K13</f>
        <v>0</v>
      </c>
      <c r="L15" s="347">
        <f t="shared" si="1"/>
        <v>0</v>
      </c>
      <c r="M15" s="347">
        <f>'t10'!AU13</f>
        <v>0</v>
      </c>
      <c r="N15" s="347" t="str">
        <f t="shared" si="2"/>
        <v>OK</v>
      </c>
      <c r="O15" s="105" t="str">
        <f t="shared" si="3"/>
        <v>OK</v>
      </c>
      <c r="P15" s="346">
        <f>'t1'!L13</f>
        <v>0</v>
      </c>
      <c r="Q15" s="346">
        <f>'t3'!N13</f>
        <v>0</v>
      </c>
      <c r="R15" s="347">
        <f>'t3'!P13</f>
        <v>0</v>
      </c>
      <c r="S15" s="347">
        <f>'t3'!R13</f>
        <v>0</v>
      </c>
      <c r="T15" s="347">
        <f>'t3'!D13</f>
        <v>0</v>
      </c>
      <c r="U15" s="347">
        <f>'t3'!F13</f>
        <v>0</v>
      </c>
      <c r="V15" s="347">
        <f>'t3'!H13</f>
        <v>0</v>
      </c>
      <c r="W15" s="347">
        <f>'t3'!J13</f>
        <v>0</v>
      </c>
      <c r="X15" s="347">
        <f>'t3'!L13</f>
        <v>0</v>
      </c>
      <c r="Y15" s="347">
        <f t="shared" si="0"/>
        <v>0</v>
      </c>
      <c r="Z15" s="347">
        <f>'t10'!AV13</f>
        <v>0</v>
      </c>
      <c r="AA15" s="347" t="str">
        <f t="shared" si="4"/>
        <v>OK</v>
      </c>
      <c r="AB15" s="195" t="str">
        <f t="shared" si="5"/>
        <v>OK</v>
      </c>
    </row>
    <row r="16" spans="1:28" ht="12.75" customHeight="1">
      <c r="A16" s="141" t="str">
        <f>'t1'!A14</f>
        <v>POSIZIONE ECONOMICA C1</v>
      </c>
      <c r="B16" s="190" t="str">
        <f>'t1'!B14</f>
        <v>040000</v>
      </c>
      <c r="C16" s="346">
        <f>'t1'!K14</f>
        <v>0</v>
      </c>
      <c r="D16" s="346">
        <f>'t3'!M14</f>
        <v>0</v>
      </c>
      <c r="E16" s="347">
        <f>'t3'!O14</f>
        <v>0</v>
      </c>
      <c r="F16" s="347">
        <f>'t3'!Q14</f>
        <v>0</v>
      </c>
      <c r="G16" s="347">
        <f>'t3'!C14</f>
        <v>0</v>
      </c>
      <c r="H16" s="347">
        <f>'t3'!E14</f>
        <v>0</v>
      </c>
      <c r="I16" s="347">
        <f>'t3'!G14</f>
        <v>0</v>
      </c>
      <c r="J16" s="347">
        <f>'t3'!I14</f>
        <v>0</v>
      </c>
      <c r="K16" s="347">
        <f>'t3'!K14</f>
        <v>0</v>
      </c>
      <c r="L16" s="347">
        <f t="shared" si="1"/>
        <v>0</v>
      </c>
      <c r="M16" s="347">
        <f>'t10'!AU14</f>
        <v>0</v>
      </c>
      <c r="N16" s="347" t="str">
        <f t="shared" si="2"/>
        <v>OK</v>
      </c>
      <c r="O16" s="105" t="str">
        <f t="shared" si="3"/>
        <v>OK</v>
      </c>
      <c r="P16" s="346">
        <f>'t1'!L14</f>
        <v>0</v>
      </c>
      <c r="Q16" s="346">
        <f>'t3'!N14</f>
        <v>0</v>
      </c>
      <c r="R16" s="347">
        <f>'t3'!P14</f>
        <v>0</v>
      </c>
      <c r="S16" s="347">
        <f>'t3'!R14</f>
        <v>0</v>
      </c>
      <c r="T16" s="347">
        <f>'t3'!D14</f>
        <v>0</v>
      </c>
      <c r="U16" s="347">
        <f>'t3'!F14</f>
        <v>0</v>
      </c>
      <c r="V16" s="347">
        <f>'t3'!H14</f>
        <v>0</v>
      </c>
      <c r="W16" s="347">
        <f>'t3'!J14</f>
        <v>0</v>
      </c>
      <c r="X16" s="347">
        <f>'t3'!L14</f>
        <v>0</v>
      </c>
      <c r="Y16" s="347">
        <f t="shared" si="0"/>
        <v>0</v>
      </c>
      <c r="Z16" s="347">
        <f>'t10'!AV14</f>
        <v>0</v>
      </c>
      <c r="AA16" s="347" t="str">
        <f t="shared" si="4"/>
        <v>OK</v>
      </c>
      <c r="AB16" s="195" t="str">
        <f t="shared" si="5"/>
        <v>OK</v>
      </c>
    </row>
    <row r="17" spans="1:28" ht="12.75" customHeight="1">
      <c r="A17" s="141" t="str">
        <f>'t1'!A15</f>
        <v>POSIZIONE ECONOMICA B4</v>
      </c>
      <c r="B17" s="190" t="str">
        <f>'t1'!B15</f>
        <v>036000</v>
      </c>
      <c r="C17" s="346">
        <f>'t1'!K15</f>
        <v>0</v>
      </c>
      <c r="D17" s="346">
        <f>'t3'!M15</f>
        <v>0</v>
      </c>
      <c r="E17" s="347">
        <f>'t3'!O15</f>
        <v>0</v>
      </c>
      <c r="F17" s="347">
        <f>'t3'!Q15</f>
        <v>0</v>
      </c>
      <c r="G17" s="347">
        <f>'t3'!C15</f>
        <v>0</v>
      </c>
      <c r="H17" s="347">
        <f>'t3'!E15</f>
        <v>0</v>
      </c>
      <c r="I17" s="347">
        <f>'t3'!G15</f>
        <v>0</v>
      </c>
      <c r="J17" s="347">
        <f>'t3'!I15</f>
        <v>0</v>
      </c>
      <c r="K17" s="347">
        <f>'t3'!K15</f>
        <v>0</v>
      </c>
      <c r="L17" s="347">
        <f t="shared" si="1"/>
        <v>0</v>
      </c>
      <c r="M17" s="347">
        <f>'t10'!AU15</f>
        <v>0</v>
      </c>
      <c r="N17" s="347" t="str">
        <f t="shared" si="2"/>
        <v>OK</v>
      </c>
      <c r="O17" s="105" t="str">
        <f t="shared" si="3"/>
        <v>OK</v>
      </c>
      <c r="P17" s="346">
        <f>'t1'!L15</f>
        <v>0</v>
      </c>
      <c r="Q17" s="346">
        <f>'t3'!N15</f>
        <v>0</v>
      </c>
      <c r="R17" s="347">
        <f>'t3'!P15</f>
        <v>0</v>
      </c>
      <c r="S17" s="347">
        <f>'t3'!R15</f>
        <v>0</v>
      </c>
      <c r="T17" s="347">
        <f>'t3'!D15</f>
        <v>0</v>
      </c>
      <c r="U17" s="347">
        <f>'t3'!F15</f>
        <v>0</v>
      </c>
      <c r="V17" s="347">
        <f>'t3'!H15</f>
        <v>0</v>
      </c>
      <c r="W17" s="347">
        <f>'t3'!J15</f>
        <v>0</v>
      </c>
      <c r="X17" s="347">
        <f>'t3'!L15</f>
        <v>0</v>
      </c>
      <c r="Y17" s="347">
        <f t="shared" si="0"/>
        <v>0</v>
      </c>
      <c r="Z17" s="347">
        <f>'t10'!AV15</f>
        <v>0</v>
      </c>
      <c r="AA17" s="347" t="str">
        <f t="shared" si="4"/>
        <v>OK</v>
      </c>
      <c r="AB17" s="195" t="str">
        <f t="shared" si="5"/>
        <v>OK</v>
      </c>
    </row>
    <row r="18" spans="1:28" ht="12.75" customHeight="1">
      <c r="A18" s="141" t="str">
        <f>'t1'!A16</f>
        <v>POSIZIONE ECONOMICA B3</v>
      </c>
      <c r="B18" s="190" t="str">
        <f>'t1'!B16</f>
        <v>034000</v>
      </c>
      <c r="C18" s="346">
        <f>'t1'!K16</f>
        <v>0</v>
      </c>
      <c r="D18" s="346">
        <f>'t3'!M16</f>
        <v>0</v>
      </c>
      <c r="E18" s="347">
        <f>'t3'!O16</f>
        <v>0</v>
      </c>
      <c r="F18" s="347">
        <f>'t3'!Q16</f>
        <v>0</v>
      </c>
      <c r="G18" s="347">
        <f>'t3'!C16</f>
        <v>0</v>
      </c>
      <c r="H18" s="347">
        <f>'t3'!E16</f>
        <v>0</v>
      </c>
      <c r="I18" s="347">
        <f>'t3'!G16</f>
        <v>0</v>
      </c>
      <c r="J18" s="347">
        <f>'t3'!I16</f>
        <v>0</v>
      </c>
      <c r="K18" s="347">
        <f>'t3'!K16</f>
        <v>0</v>
      </c>
      <c r="L18" s="347">
        <f t="shared" si="1"/>
        <v>0</v>
      </c>
      <c r="M18" s="347">
        <f>'t10'!AU16</f>
        <v>0</v>
      </c>
      <c r="N18" s="347" t="str">
        <f t="shared" si="2"/>
        <v>OK</v>
      </c>
      <c r="O18" s="105" t="str">
        <f t="shared" si="3"/>
        <v>OK</v>
      </c>
      <c r="P18" s="346">
        <f>'t1'!L16</f>
        <v>0</v>
      </c>
      <c r="Q18" s="346">
        <f>'t3'!N16</f>
        <v>0</v>
      </c>
      <c r="R18" s="347">
        <f>'t3'!P16</f>
        <v>0</v>
      </c>
      <c r="S18" s="347">
        <f>'t3'!R16</f>
        <v>0</v>
      </c>
      <c r="T18" s="347">
        <f>'t3'!D16</f>
        <v>0</v>
      </c>
      <c r="U18" s="347">
        <f>'t3'!F16</f>
        <v>0</v>
      </c>
      <c r="V18" s="347">
        <f>'t3'!H16</f>
        <v>0</v>
      </c>
      <c r="W18" s="347">
        <f>'t3'!J16</f>
        <v>0</v>
      </c>
      <c r="X18" s="347">
        <f>'t3'!L16</f>
        <v>0</v>
      </c>
      <c r="Y18" s="347">
        <f t="shared" si="0"/>
        <v>0</v>
      </c>
      <c r="Z18" s="347">
        <f>'t10'!AV16</f>
        <v>0</v>
      </c>
      <c r="AA18" s="347" t="str">
        <f t="shared" si="4"/>
        <v>OK</v>
      </c>
      <c r="AB18" s="195" t="str">
        <f t="shared" si="5"/>
        <v>OK</v>
      </c>
    </row>
    <row r="19" spans="1:28" ht="12.75" customHeight="1">
      <c r="A19" s="141" t="str">
        <f>'t1'!A17</f>
        <v>POSIZIONE ECONOMICA B2</v>
      </c>
      <c r="B19" s="190" t="str">
        <f>'t1'!B17</f>
        <v>032000</v>
      </c>
      <c r="C19" s="346">
        <f>'t1'!K17</f>
        <v>0</v>
      </c>
      <c r="D19" s="346">
        <f>'t3'!M17</f>
        <v>0</v>
      </c>
      <c r="E19" s="347">
        <f>'t3'!O17</f>
        <v>0</v>
      </c>
      <c r="F19" s="347">
        <f>'t3'!Q17</f>
        <v>0</v>
      </c>
      <c r="G19" s="347">
        <f>'t3'!C17</f>
        <v>0</v>
      </c>
      <c r="H19" s="347">
        <f>'t3'!E17</f>
        <v>0</v>
      </c>
      <c r="I19" s="347">
        <f>'t3'!G17</f>
        <v>0</v>
      </c>
      <c r="J19" s="347">
        <f>'t3'!I17</f>
        <v>0</v>
      </c>
      <c r="K19" s="347">
        <f>'t3'!K17</f>
        <v>0</v>
      </c>
      <c r="L19" s="347">
        <f t="shared" si="1"/>
        <v>0</v>
      </c>
      <c r="M19" s="347">
        <f>'t10'!AU17</f>
        <v>0</v>
      </c>
      <c r="N19" s="347" t="str">
        <f t="shared" si="2"/>
        <v>OK</v>
      </c>
      <c r="O19" s="105" t="str">
        <f t="shared" si="3"/>
        <v>OK</v>
      </c>
      <c r="P19" s="346">
        <f>'t1'!L17</f>
        <v>0</v>
      </c>
      <c r="Q19" s="346">
        <f>'t3'!N17</f>
        <v>0</v>
      </c>
      <c r="R19" s="347">
        <f>'t3'!P17</f>
        <v>0</v>
      </c>
      <c r="S19" s="347">
        <f>'t3'!R17</f>
        <v>0</v>
      </c>
      <c r="T19" s="347">
        <f>'t3'!D17</f>
        <v>0</v>
      </c>
      <c r="U19" s="347">
        <f>'t3'!F17</f>
        <v>0</v>
      </c>
      <c r="V19" s="347">
        <f>'t3'!H17</f>
        <v>0</v>
      </c>
      <c r="W19" s="347">
        <f>'t3'!J17</f>
        <v>0</v>
      </c>
      <c r="X19" s="347">
        <f>'t3'!L17</f>
        <v>0</v>
      </c>
      <c r="Y19" s="347">
        <f t="shared" si="0"/>
        <v>0</v>
      </c>
      <c r="Z19" s="347">
        <f>'t10'!AV17</f>
        <v>0</v>
      </c>
      <c r="AA19" s="347" t="str">
        <f t="shared" si="4"/>
        <v>OK</v>
      </c>
      <c r="AB19" s="195" t="str">
        <f t="shared" si="5"/>
        <v>OK</v>
      </c>
    </row>
    <row r="20" spans="1:28" ht="12.75" customHeight="1">
      <c r="A20" s="141" t="str">
        <f>'t1'!A18</f>
        <v>POSIZIONE ECONOMICA B1</v>
      </c>
      <c r="B20" s="190" t="str">
        <f>'t1'!B18</f>
        <v>030000</v>
      </c>
      <c r="C20" s="346">
        <f>'t1'!K18</f>
        <v>0</v>
      </c>
      <c r="D20" s="346">
        <f>'t3'!M18</f>
        <v>0</v>
      </c>
      <c r="E20" s="347">
        <f>'t3'!O18</f>
        <v>0</v>
      </c>
      <c r="F20" s="347">
        <f>'t3'!Q18</f>
        <v>0</v>
      </c>
      <c r="G20" s="347">
        <f>'t3'!C18</f>
        <v>0</v>
      </c>
      <c r="H20" s="347">
        <f>'t3'!E18</f>
        <v>0</v>
      </c>
      <c r="I20" s="347">
        <f>'t3'!G18</f>
        <v>0</v>
      </c>
      <c r="J20" s="347">
        <f>'t3'!I18</f>
        <v>0</v>
      </c>
      <c r="K20" s="347">
        <f>'t3'!K18</f>
        <v>0</v>
      </c>
      <c r="L20" s="347">
        <f t="shared" si="1"/>
        <v>0</v>
      </c>
      <c r="M20" s="347">
        <f>'t10'!AU18</f>
        <v>0</v>
      </c>
      <c r="N20" s="347" t="str">
        <f t="shared" si="2"/>
        <v>OK</v>
      </c>
      <c r="O20" s="105" t="str">
        <f t="shared" si="3"/>
        <v>OK</v>
      </c>
      <c r="P20" s="346">
        <f>'t1'!L18</f>
        <v>0</v>
      </c>
      <c r="Q20" s="346">
        <f>'t3'!N18</f>
        <v>0</v>
      </c>
      <c r="R20" s="347">
        <f>'t3'!P18</f>
        <v>0</v>
      </c>
      <c r="S20" s="347">
        <f>'t3'!R18</f>
        <v>0</v>
      </c>
      <c r="T20" s="347">
        <f>'t3'!D18</f>
        <v>0</v>
      </c>
      <c r="U20" s="347">
        <f>'t3'!F18</f>
        <v>0</v>
      </c>
      <c r="V20" s="347">
        <f>'t3'!H18</f>
        <v>0</v>
      </c>
      <c r="W20" s="347">
        <f>'t3'!J18</f>
        <v>0</v>
      </c>
      <c r="X20" s="347">
        <f>'t3'!L18</f>
        <v>0</v>
      </c>
      <c r="Y20" s="347">
        <f t="shared" si="0"/>
        <v>0</v>
      </c>
      <c r="Z20" s="347">
        <f>'t10'!AV18</f>
        <v>0</v>
      </c>
      <c r="AA20" s="347" t="str">
        <f t="shared" si="4"/>
        <v>OK</v>
      </c>
      <c r="AB20" s="195" t="str">
        <f t="shared" si="5"/>
        <v>OK</v>
      </c>
    </row>
    <row r="21" spans="1:28" ht="12.75" customHeight="1">
      <c r="A21" s="141" t="str">
        <f>'t1'!A19</f>
        <v>POSIZIONE ECONOMICA A3</v>
      </c>
      <c r="B21" s="190" t="str">
        <f>'t1'!B19</f>
        <v>027000</v>
      </c>
      <c r="C21" s="346">
        <f>'t1'!K19</f>
        <v>0</v>
      </c>
      <c r="D21" s="346">
        <f>'t3'!M19</f>
        <v>0</v>
      </c>
      <c r="E21" s="347">
        <f>'t3'!O19</f>
        <v>0</v>
      </c>
      <c r="F21" s="347">
        <f>'t3'!Q19</f>
        <v>0</v>
      </c>
      <c r="G21" s="347">
        <f>'t3'!C19</f>
        <v>0</v>
      </c>
      <c r="H21" s="347">
        <f>'t3'!E19</f>
        <v>0</v>
      </c>
      <c r="I21" s="347">
        <f>'t3'!G19</f>
        <v>0</v>
      </c>
      <c r="J21" s="347">
        <f>'t3'!I19</f>
        <v>0</v>
      </c>
      <c r="K21" s="347">
        <f>'t3'!K19</f>
        <v>0</v>
      </c>
      <c r="L21" s="347">
        <f t="shared" si="1"/>
        <v>0</v>
      </c>
      <c r="M21" s="347">
        <f>'t10'!AU19</f>
        <v>0</v>
      </c>
      <c r="N21" s="347" t="str">
        <f t="shared" si="2"/>
        <v>OK</v>
      </c>
      <c r="O21" s="105" t="str">
        <f t="shared" si="3"/>
        <v>OK</v>
      </c>
      <c r="P21" s="346">
        <f>'t1'!L19</f>
        <v>0</v>
      </c>
      <c r="Q21" s="346">
        <f>'t3'!N19</f>
        <v>0</v>
      </c>
      <c r="R21" s="347">
        <f>'t3'!P19</f>
        <v>0</v>
      </c>
      <c r="S21" s="347">
        <f>'t3'!R19</f>
        <v>0</v>
      </c>
      <c r="T21" s="347">
        <f>'t3'!D19</f>
        <v>0</v>
      </c>
      <c r="U21" s="347">
        <f>'t3'!F19</f>
        <v>0</v>
      </c>
      <c r="V21" s="347">
        <f>'t3'!H19</f>
        <v>0</v>
      </c>
      <c r="W21" s="347">
        <f>'t3'!J19</f>
        <v>0</v>
      </c>
      <c r="X21" s="347">
        <f>'t3'!L19</f>
        <v>0</v>
      </c>
      <c r="Y21" s="347">
        <f t="shared" si="0"/>
        <v>0</v>
      </c>
      <c r="Z21" s="347">
        <f>'t10'!AV19</f>
        <v>0</v>
      </c>
      <c r="AA21" s="347" t="str">
        <f t="shared" si="4"/>
        <v>OK</v>
      </c>
      <c r="AB21" s="195" t="str">
        <f t="shared" si="5"/>
        <v>OK</v>
      </c>
    </row>
    <row r="22" spans="1:28" ht="12.75" customHeight="1">
      <c r="A22" s="141" t="str">
        <f>'t1'!A20</f>
        <v>POSIZIONE ECONOMICA A2</v>
      </c>
      <c r="B22" s="190" t="str">
        <f>'t1'!B20</f>
        <v>025000</v>
      </c>
      <c r="C22" s="346">
        <f>'t1'!K20</f>
        <v>0</v>
      </c>
      <c r="D22" s="346">
        <f>'t3'!M20</f>
        <v>0</v>
      </c>
      <c r="E22" s="347">
        <f>'t3'!O20</f>
        <v>0</v>
      </c>
      <c r="F22" s="347">
        <f>'t3'!Q20</f>
        <v>0</v>
      </c>
      <c r="G22" s="347">
        <f>'t3'!C20</f>
        <v>0</v>
      </c>
      <c r="H22" s="347">
        <f>'t3'!E20</f>
        <v>0</v>
      </c>
      <c r="I22" s="347">
        <f>'t3'!G20</f>
        <v>0</v>
      </c>
      <c r="J22" s="347">
        <f>'t3'!I20</f>
        <v>0</v>
      </c>
      <c r="K22" s="347">
        <f>'t3'!K20</f>
        <v>0</v>
      </c>
      <c r="L22" s="347">
        <f t="shared" si="1"/>
        <v>0</v>
      </c>
      <c r="M22" s="347">
        <f>'t10'!AU20</f>
        <v>0</v>
      </c>
      <c r="N22" s="347" t="str">
        <f t="shared" si="2"/>
        <v>OK</v>
      </c>
      <c r="O22" s="105" t="str">
        <f t="shared" si="3"/>
        <v>OK</v>
      </c>
      <c r="P22" s="346">
        <f>'t1'!L20</f>
        <v>0</v>
      </c>
      <c r="Q22" s="346">
        <f>'t3'!N20</f>
        <v>0</v>
      </c>
      <c r="R22" s="347">
        <f>'t3'!P20</f>
        <v>0</v>
      </c>
      <c r="S22" s="347">
        <f>'t3'!R20</f>
        <v>0</v>
      </c>
      <c r="T22" s="347">
        <f>'t3'!D20</f>
        <v>0</v>
      </c>
      <c r="U22" s="347">
        <f>'t3'!F20</f>
        <v>0</v>
      </c>
      <c r="V22" s="347">
        <f>'t3'!H20</f>
        <v>0</v>
      </c>
      <c r="W22" s="347">
        <f>'t3'!J20</f>
        <v>0</v>
      </c>
      <c r="X22" s="347">
        <f>'t3'!L20</f>
        <v>0</v>
      </c>
      <c r="Y22" s="347">
        <f t="shared" si="0"/>
        <v>0</v>
      </c>
      <c r="Z22" s="347">
        <f>'t10'!AV20</f>
        <v>0</v>
      </c>
      <c r="AA22" s="347" t="str">
        <f t="shared" si="4"/>
        <v>OK</v>
      </c>
      <c r="AB22" s="195" t="str">
        <f t="shared" si="5"/>
        <v>OK</v>
      </c>
    </row>
    <row r="23" spans="1:28" ht="12.75" customHeight="1">
      <c r="A23" s="141" t="str">
        <f>'t1'!A21</f>
        <v>POSIZIONE ECONOMICA A1</v>
      </c>
      <c r="B23" s="190" t="str">
        <f>'t1'!B21</f>
        <v>023000</v>
      </c>
      <c r="C23" s="346">
        <f>'t1'!K21</f>
        <v>0</v>
      </c>
      <c r="D23" s="346">
        <f>'t3'!M21</f>
        <v>0</v>
      </c>
      <c r="E23" s="347">
        <f>'t3'!O21</f>
        <v>0</v>
      </c>
      <c r="F23" s="347">
        <f>'t3'!Q21</f>
        <v>0</v>
      </c>
      <c r="G23" s="347">
        <f>'t3'!C21</f>
        <v>0</v>
      </c>
      <c r="H23" s="347">
        <f>'t3'!E21</f>
        <v>0</v>
      </c>
      <c r="I23" s="347">
        <f>'t3'!G21</f>
        <v>0</v>
      </c>
      <c r="J23" s="347">
        <f>'t3'!I21</f>
        <v>0</v>
      </c>
      <c r="K23" s="347">
        <f>'t3'!K21</f>
        <v>0</v>
      </c>
      <c r="L23" s="347">
        <f t="shared" si="1"/>
        <v>0</v>
      </c>
      <c r="M23" s="347">
        <f>'t10'!AU21</f>
        <v>0</v>
      </c>
      <c r="N23" s="347" t="str">
        <f t="shared" si="2"/>
        <v>OK</v>
      </c>
      <c r="O23" s="105" t="str">
        <f t="shared" si="3"/>
        <v>OK</v>
      </c>
      <c r="P23" s="346">
        <f>'t1'!L21</f>
        <v>0</v>
      </c>
      <c r="Q23" s="346">
        <f>'t3'!N21</f>
        <v>0</v>
      </c>
      <c r="R23" s="347">
        <f>'t3'!P21</f>
        <v>0</v>
      </c>
      <c r="S23" s="347">
        <f>'t3'!R21</f>
        <v>0</v>
      </c>
      <c r="T23" s="347">
        <f>'t3'!D21</f>
        <v>0</v>
      </c>
      <c r="U23" s="347">
        <f>'t3'!F21</f>
        <v>0</v>
      </c>
      <c r="V23" s="347">
        <f>'t3'!H21</f>
        <v>0</v>
      </c>
      <c r="W23" s="347">
        <f>'t3'!J21</f>
        <v>0</v>
      </c>
      <c r="X23" s="347">
        <f>'t3'!L21</f>
        <v>0</v>
      </c>
      <c r="Y23" s="347">
        <f t="shared" si="0"/>
        <v>0</v>
      </c>
      <c r="Z23" s="347">
        <f>'t10'!AV21</f>
        <v>0</v>
      </c>
      <c r="AA23" s="347" t="str">
        <f>IF(P23&lt;(T23+U23+V23+W23+X23),"ERRORE","OK")</f>
        <v>OK</v>
      </c>
      <c r="AB23" s="195" t="str">
        <f t="shared" si="5"/>
        <v>OK</v>
      </c>
    </row>
    <row r="24" spans="1:28" ht="12.75" customHeight="1">
      <c r="A24" s="141" t="str">
        <f>'t1'!A22</f>
        <v>CONTRATTISTI (a)</v>
      </c>
      <c r="B24" s="190" t="str">
        <f>'t1'!B22</f>
        <v>000061</v>
      </c>
      <c r="C24" s="346">
        <f>'t1'!K22</f>
        <v>0</v>
      </c>
      <c r="D24" s="346">
        <f>'t3'!M22</f>
        <v>0</v>
      </c>
      <c r="E24" s="347">
        <f>'t3'!O22</f>
        <v>0</v>
      </c>
      <c r="F24" s="347">
        <f>'t3'!Q22</f>
        <v>0</v>
      </c>
      <c r="G24" s="347">
        <f>'t3'!C22</f>
        <v>0</v>
      </c>
      <c r="H24" s="347">
        <f>'t3'!E22</f>
        <v>0</v>
      </c>
      <c r="I24" s="347">
        <f>'t3'!G22</f>
        <v>0</v>
      </c>
      <c r="J24" s="347">
        <f>'t3'!I22</f>
        <v>0</v>
      </c>
      <c r="K24" s="347">
        <f>'t3'!K22</f>
        <v>0</v>
      </c>
      <c r="L24" s="347">
        <f t="shared" si="1"/>
        <v>0</v>
      </c>
      <c r="M24" s="347">
        <f>'t10'!AU22</f>
        <v>0</v>
      </c>
      <c r="N24" s="347" t="str">
        <f t="shared" si="2"/>
        <v>OK</v>
      </c>
      <c r="O24" s="105" t="str">
        <f t="shared" si="3"/>
        <v>OK</v>
      </c>
      <c r="P24" s="346">
        <f>'t1'!L22</f>
        <v>0</v>
      </c>
      <c r="Q24" s="346">
        <f>'t3'!N22</f>
        <v>0</v>
      </c>
      <c r="R24" s="347">
        <f>'t3'!P22</f>
        <v>0</v>
      </c>
      <c r="S24" s="347">
        <f>'t3'!R22</f>
        <v>0</v>
      </c>
      <c r="T24" s="347">
        <f>'t3'!D22</f>
        <v>0</v>
      </c>
      <c r="U24" s="347">
        <f>'t3'!F22</f>
        <v>0</v>
      </c>
      <c r="V24" s="347">
        <f>'t3'!H22</f>
        <v>0</v>
      </c>
      <c r="W24" s="347">
        <f>'t3'!J22</f>
        <v>0</v>
      </c>
      <c r="X24" s="347">
        <f>'t3'!L22</f>
        <v>0</v>
      </c>
      <c r="Y24" s="347">
        <f t="shared" si="0"/>
        <v>0</v>
      </c>
      <c r="Z24" s="347">
        <f>'t10'!AV22</f>
        <v>0</v>
      </c>
      <c r="AA24" s="347" t="str">
        <f t="shared" si="4"/>
        <v>OK</v>
      </c>
      <c r="AB24" s="195" t="str">
        <f t="shared" si="5"/>
        <v>OK</v>
      </c>
    </row>
    <row r="25" spans="1:28" ht="15.75" customHeight="1">
      <c r="A25" s="141" t="str">
        <f>'t1'!A23</f>
        <v>TOTALE</v>
      </c>
      <c r="B25" s="180"/>
      <c r="C25" s="346">
        <f aca="true" t="shared" si="6" ref="C25:M25">SUM(C8:C24)</f>
        <v>0</v>
      </c>
      <c r="D25" s="346">
        <f t="shared" si="6"/>
        <v>0</v>
      </c>
      <c r="E25" s="346">
        <f t="shared" si="6"/>
        <v>0</v>
      </c>
      <c r="F25" s="346">
        <f t="shared" si="6"/>
        <v>0</v>
      </c>
      <c r="G25" s="346">
        <f t="shared" si="6"/>
        <v>0</v>
      </c>
      <c r="H25" s="346">
        <f t="shared" si="6"/>
        <v>0</v>
      </c>
      <c r="I25" s="346">
        <f t="shared" si="6"/>
        <v>0</v>
      </c>
      <c r="J25" s="346">
        <f t="shared" si="6"/>
        <v>0</v>
      </c>
      <c r="K25" s="346">
        <f t="shared" si="6"/>
        <v>0</v>
      </c>
      <c r="L25" s="346">
        <f t="shared" si="6"/>
        <v>0</v>
      </c>
      <c r="M25" s="346">
        <f t="shared" si="6"/>
        <v>0</v>
      </c>
      <c r="N25" s="347" t="str">
        <f t="shared" si="2"/>
        <v>OK</v>
      </c>
      <c r="O25" s="105" t="str">
        <f t="shared" si="3"/>
        <v>OK</v>
      </c>
      <c r="P25" s="346">
        <f aca="true" t="shared" si="7" ref="P25:Z25">SUM(P8:P24)</f>
        <v>0</v>
      </c>
      <c r="Q25" s="346">
        <f t="shared" si="7"/>
        <v>0</v>
      </c>
      <c r="R25" s="346">
        <f t="shared" si="7"/>
        <v>0</v>
      </c>
      <c r="S25" s="346">
        <f t="shared" si="7"/>
        <v>0</v>
      </c>
      <c r="T25" s="346">
        <f t="shared" si="7"/>
        <v>0</v>
      </c>
      <c r="U25" s="346">
        <f t="shared" si="7"/>
        <v>0</v>
      </c>
      <c r="V25" s="346">
        <f t="shared" si="7"/>
        <v>0</v>
      </c>
      <c r="W25" s="346">
        <f t="shared" si="7"/>
        <v>0</v>
      </c>
      <c r="X25" s="346">
        <f t="shared" si="7"/>
        <v>0</v>
      </c>
      <c r="Y25" s="346">
        <f t="shared" si="7"/>
        <v>0</v>
      </c>
      <c r="Z25" s="346">
        <f t="shared" si="7"/>
        <v>0</v>
      </c>
      <c r="AA25" s="347" t="str">
        <f t="shared" si="4"/>
        <v>OK</v>
      </c>
      <c r="AB25" s="195" t="str">
        <f t="shared" si="5"/>
        <v>OK</v>
      </c>
    </row>
  </sheetData>
  <sheetProtection password="EA98" sheet="1" formatColumns="0" selectLockedCells="1" selectUnlockedCells="1"/>
  <mergeCells count="4">
    <mergeCell ref="P5:AB5"/>
    <mergeCell ref="C5:O5"/>
    <mergeCell ref="A1:Y1"/>
    <mergeCell ref="A2:M2"/>
  </mergeCells>
  <printOptions horizontalCentered="1" verticalCentered="1"/>
  <pageMargins left="0.1968503937007874" right="0" top="0.15748031496062992" bottom="0.15748031496062992" header="0.1968503937007874" footer="0.1968503937007874"/>
  <pageSetup horizontalDpi="300" verticalDpi="300" orientation="landscape" paperSize="9" scale="80" r:id="rId2"/>
  <colBreaks count="1" manualBreakCount="1">
    <brk id="15" max="65535" man="1"/>
  </colBreaks>
  <drawing r:id="rId1"/>
</worksheet>
</file>

<file path=xl/worksheets/sheet28.xml><?xml version="1.0" encoding="utf-8"?>
<worksheet xmlns="http://schemas.openxmlformats.org/spreadsheetml/2006/main" xmlns:r="http://schemas.openxmlformats.org/officeDocument/2006/relationships">
  <sheetPr codeName="Foglio25"/>
  <dimension ref="A1:M23"/>
  <sheetViews>
    <sheetView showGridLines="0" zoomScalePageLayoutView="0" workbookViewId="0" topLeftCell="A1">
      <pane ySplit="5" topLeftCell="A6" activePane="bottomLeft" state="frozen"/>
      <selection pane="topLeft" activeCell="A2" sqref="A2"/>
      <selection pane="bottomLeft" activeCell="B5" sqref="B5"/>
    </sheetView>
  </sheetViews>
  <sheetFormatPr defaultColWidth="9.33203125" defaultRowHeight="10.5"/>
  <cols>
    <col min="1" max="1" width="38.5" style="5" customWidth="1"/>
    <col min="2" max="2" width="11.66015625" style="7" customWidth="1"/>
    <col min="3" max="3" width="17" style="7" bestFit="1" customWidth="1"/>
    <col min="4" max="8" width="15.83203125" style="7" customWidth="1"/>
    <col min="9" max="9" width="14.83203125" style="7" customWidth="1"/>
    <col min="10" max="16384" width="9.33203125" style="5" customWidth="1"/>
  </cols>
  <sheetData>
    <row r="1" spans="1:13" ht="43.5" customHeight="1">
      <c r="A1" s="1349" t="str">
        <f>'t1'!A1</f>
        <v>CNEL - anno 2018</v>
      </c>
      <c r="B1" s="1349"/>
      <c r="C1" s="1349"/>
      <c r="D1" s="1349"/>
      <c r="E1" s="1349"/>
      <c r="F1" s="1349"/>
      <c r="G1" s="1349"/>
      <c r="H1" s="321"/>
      <c r="I1" s="318"/>
      <c r="K1" s="3"/>
      <c r="M1"/>
    </row>
    <row r="2" spans="2:13" ht="12.75" customHeight="1">
      <c r="B2" s="5"/>
      <c r="C2" s="5"/>
      <c r="D2" s="1439"/>
      <c r="E2" s="1439"/>
      <c r="F2" s="1439"/>
      <c r="G2" s="1439"/>
      <c r="H2" s="1439"/>
      <c r="I2" s="1439"/>
      <c r="J2" s="322"/>
      <c r="K2" s="3"/>
      <c r="M2"/>
    </row>
    <row r="3" spans="1:9" ht="21" customHeight="1">
      <c r="A3" s="200" t="s">
        <v>263</v>
      </c>
      <c r="C3" s="5"/>
      <c r="D3" s="5"/>
      <c r="E3" s="5"/>
      <c r="F3" s="5"/>
      <c r="G3" s="5"/>
      <c r="H3" s="5"/>
      <c r="I3" s="5"/>
    </row>
    <row r="4" spans="1:9" ht="49.5" customHeight="1">
      <c r="A4" s="188" t="s">
        <v>201</v>
      </c>
      <c r="B4" s="188" t="s">
        <v>200</v>
      </c>
      <c r="C4" s="188" t="str">
        <f>"Presenti 31.12 anno precedente (Tab 1)"</f>
        <v>Presenti 31.12 anno precedente (Tab 1)</v>
      </c>
      <c r="D4" s="188" t="s">
        <v>222</v>
      </c>
      <c r="E4" s="188" t="s">
        <v>223</v>
      </c>
      <c r="F4" s="188" t="s">
        <v>224</v>
      </c>
      <c r="G4" s="188" t="s">
        <v>235</v>
      </c>
      <c r="H4" s="188" t="s">
        <v>225</v>
      </c>
      <c r="I4" s="188" t="s">
        <v>192</v>
      </c>
    </row>
    <row r="5" spans="1:9" ht="9.75">
      <c r="A5" s="188"/>
      <c r="B5" s="188"/>
      <c r="C5" s="198" t="s">
        <v>202</v>
      </c>
      <c r="D5" s="198" t="s">
        <v>203</v>
      </c>
      <c r="E5" s="198" t="s">
        <v>204</v>
      </c>
      <c r="F5" s="198" t="s">
        <v>205</v>
      </c>
      <c r="G5" s="198" t="s">
        <v>234</v>
      </c>
      <c r="H5" s="198" t="s">
        <v>226</v>
      </c>
      <c r="I5" s="198" t="s">
        <v>227</v>
      </c>
    </row>
    <row r="6" spans="1:9" ht="12.75" customHeight="1">
      <c r="A6" s="141" t="str">
        <f>'t1'!A6</f>
        <v>DIRIGENTE I FASCIA</v>
      </c>
      <c r="B6" s="190" t="str">
        <f>'t1'!B6</f>
        <v>0D0077</v>
      </c>
      <c r="C6" s="346">
        <f>'t1'!C6+'t1'!D6</f>
        <v>0</v>
      </c>
      <c r="D6" s="346">
        <f>'t5'!S7+'t5'!T7</f>
        <v>0</v>
      </c>
      <c r="E6" s="347">
        <f>'t6'!W7+'t6'!X7</f>
        <v>0</v>
      </c>
      <c r="F6" s="347">
        <f>'t4'!C23</f>
        <v>0</v>
      </c>
      <c r="G6" s="347">
        <f>C6-D6+E6+F6</f>
        <v>0</v>
      </c>
      <c r="H6" s="347">
        <f>'t4'!T6</f>
        <v>0</v>
      </c>
      <c r="I6" s="181" t="str">
        <f>IF(H6&lt;=G6,"OK","ERRORE")</f>
        <v>OK</v>
      </c>
    </row>
    <row r="7" spans="1:9" ht="12.75" customHeight="1">
      <c r="A7" s="141" t="str">
        <f>'t1'!A7</f>
        <v>DIRIGENTE I FASCIA A TEMPO DETERM.</v>
      </c>
      <c r="B7" s="190" t="str">
        <f>'t1'!B7</f>
        <v>0D0078</v>
      </c>
      <c r="C7" s="346">
        <f>'t1'!C7+'t1'!D7</f>
        <v>0</v>
      </c>
      <c r="D7" s="346">
        <f>'t5'!S8+'t5'!T8</f>
        <v>0</v>
      </c>
      <c r="E7" s="347">
        <f>'t6'!W8+'t6'!X8</f>
        <v>0</v>
      </c>
      <c r="F7" s="347">
        <f>'t4'!D23</f>
        <v>0</v>
      </c>
      <c r="G7" s="347">
        <f>C7-D7+E7+F7</f>
        <v>0</v>
      </c>
      <c r="H7" s="347">
        <f>'t4'!T7</f>
        <v>0</v>
      </c>
      <c r="I7" s="181" t="str">
        <f aca="true" t="shared" si="0" ref="I7:I22">IF(H7&lt;=G7,"OK","ERRORE")</f>
        <v>OK</v>
      </c>
    </row>
    <row r="8" spans="1:9" ht="12.75" customHeight="1">
      <c r="A8" s="141" t="str">
        <f>'t1'!A8</f>
        <v>DIRIGENTE II FASCIA</v>
      </c>
      <c r="B8" s="190" t="str">
        <f>'t1'!B8</f>
        <v>0D0079</v>
      </c>
      <c r="C8" s="346">
        <f>'t1'!C8+'t1'!D8</f>
        <v>0</v>
      </c>
      <c r="D8" s="346">
        <f>'t5'!S9+'t5'!T9</f>
        <v>0</v>
      </c>
      <c r="E8" s="347">
        <f>'t6'!W9+'t6'!X9</f>
        <v>0</v>
      </c>
      <c r="F8" s="347">
        <f>'t4'!E23</f>
        <v>0</v>
      </c>
      <c r="G8" s="347">
        <f aca="true" t="shared" si="1" ref="G8:G22">C8-D8+E8+F8</f>
        <v>0</v>
      </c>
      <c r="H8" s="347">
        <f>'t4'!T8</f>
        <v>0</v>
      </c>
      <c r="I8" s="181" t="str">
        <f t="shared" si="0"/>
        <v>OK</v>
      </c>
    </row>
    <row r="9" spans="1:9" ht="12.75" customHeight="1">
      <c r="A9" s="141" t="str">
        <f>'t1'!A9</f>
        <v>DIRIGENTE II FASCIA A TEMPO DETERM.</v>
      </c>
      <c r="B9" s="190" t="str">
        <f>'t1'!B9</f>
        <v>0D0080</v>
      </c>
      <c r="C9" s="346">
        <f>'t1'!C9+'t1'!D9</f>
        <v>0</v>
      </c>
      <c r="D9" s="346">
        <f>'t5'!S10+'t5'!T10</f>
        <v>0</v>
      </c>
      <c r="E9" s="347">
        <f>'t6'!W10+'t6'!X10</f>
        <v>0</v>
      </c>
      <c r="F9" s="347">
        <f>'t4'!F23</f>
        <v>0</v>
      </c>
      <c r="G9" s="347">
        <f t="shared" si="1"/>
        <v>0</v>
      </c>
      <c r="H9" s="347">
        <f>'t4'!T9</f>
        <v>0</v>
      </c>
      <c r="I9" s="181" t="str">
        <f t="shared" si="0"/>
        <v>OK</v>
      </c>
    </row>
    <row r="10" spans="1:9" ht="12.75" customHeight="1">
      <c r="A10" s="141" t="str">
        <f>'t1'!A10</f>
        <v>POSIZIONE ECONOMICA C5</v>
      </c>
      <c r="B10" s="190" t="str">
        <f>'t1'!B10</f>
        <v>046000</v>
      </c>
      <c r="C10" s="346">
        <f>'t1'!C10+'t1'!D10</f>
        <v>0</v>
      </c>
      <c r="D10" s="346">
        <f>'t5'!S11+'t5'!T11</f>
        <v>0</v>
      </c>
      <c r="E10" s="347">
        <f>'t6'!W11+'t6'!X11</f>
        <v>0</v>
      </c>
      <c r="F10" s="347">
        <f>'t4'!G23</f>
        <v>0</v>
      </c>
      <c r="G10" s="347">
        <f t="shared" si="1"/>
        <v>0</v>
      </c>
      <c r="H10" s="347">
        <f>'t4'!T10</f>
        <v>0</v>
      </c>
      <c r="I10" s="181" t="str">
        <f t="shared" si="0"/>
        <v>OK</v>
      </c>
    </row>
    <row r="11" spans="1:9" ht="12.75" customHeight="1">
      <c r="A11" s="141" t="str">
        <f>'t1'!A11</f>
        <v>POSIZIONE ECONOMICA C4</v>
      </c>
      <c r="B11" s="190" t="str">
        <f>'t1'!B11</f>
        <v>045000</v>
      </c>
      <c r="C11" s="346">
        <f>'t1'!C11+'t1'!D11</f>
        <v>0</v>
      </c>
      <c r="D11" s="346">
        <f>'t5'!S12+'t5'!T12</f>
        <v>0</v>
      </c>
      <c r="E11" s="347">
        <f>'t6'!W12+'t6'!X12</f>
        <v>0</v>
      </c>
      <c r="F11" s="347">
        <f>'t4'!H23</f>
        <v>0</v>
      </c>
      <c r="G11" s="347">
        <f t="shared" si="1"/>
        <v>0</v>
      </c>
      <c r="H11" s="347">
        <f>'t4'!T11</f>
        <v>0</v>
      </c>
      <c r="I11" s="181" t="str">
        <f t="shared" si="0"/>
        <v>OK</v>
      </c>
    </row>
    <row r="12" spans="1:9" ht="12.75" customHeight="1">
      <c r="A12" s="141" t="str">
        <f>'t1'!A12</f>
        <v>POSIZIONE ECONOMICA C3</v>
      </c>
      <c r="B12" s="190" t="str">
        <f>'t1'!B12</f>
        <v>043000</v>
      </c>
      <c r="C12" s="346">
        <f>'t1'!C12+'t1'!D12</f>
        <v>0</v>
      </c>
      <c r="D12" s="346">
        <f>'t5'!S13+'t5'!T13</f>
        <v>0</v>
      </c>
      <c r="E12" s="347">
        <f>'t6'!W13+'t6'!X13</f>
        <v>0</v>
      </c>
      <c r="F12" s="347">
        <f>'t4'!I23</f>
        <v>0</v>
      </c>
      <c r="G12" s="347">
        <f t="shared" si="1"/>
        <v>0</v>
      </c>
      <c r="H12" s="347">
        <f>'t4'!T12</f>
        <v>0</v>
      </c>
      <c r="I12" s="181" t="str">
        <f t="shared" si="0"/>
        <v>OK</v>
      </c>
    </row>
    <row r="13" spans="1:9" ht="12.75" customHeight="1">
      <c r="A13" s="141" t="str">
        <f>'t1'!A13</f>
        <v>POSIZIONE ECONOMICA C2</v>
      </c>
      <c r="B13" s="190" t="str">
        <f>'t1'!B13</f>
        <v>042000</v>
      </c>
      <c r="C13" s="346">
        <f>'t1'!C13+'t1'!D13</f>
        <v>0</v>
      </c>
      <c r="D13" s="346">
        <f>'t5'!S14+'t5'!T14</f>
        <v>0</v>
      </c>
      <c r="E13" s="347">
        <f>'t6'!W14+'t6'!X14</f>
        <v>0</v>
      </c>
      <c r="F13" s="347">
        <f>'t4'!J23</f>
        <v>0</v>
      </c>
      <c r="G13" s="347">
        <f t="shared" si="1"/>
        <v>0</v>
      </c>
      <c r="H13" s="347">
        <f>'t4'!T13</f>
        <v>0</v>
      </c>
      <c r="I13" s="181" t="str">
        <f t="shared" si="0"/>
        <v>OK</v>
      </c>
    </row>
    <row r="14" spans="1:9" ht="12.75" customHeight="1">
      <c r="A14" s="141" t="str">
        <f>'t1'!A14</f>
        <v>POSIZIONE ECONOMICA C1</v>
      </c>
      <c r="B14" s="190" t="str">
        <f>'t1'!B14</f>
        <v>040000</v>
      </c>
      <c r="C14" s="346">
        <f>'t1'!C14+'t1'!D14</f>
        <v>0</v>
      </c>
      <c r="D14" s="346">
        <f>'t5'!S15+'t5'!T15</f>
        <v>0</v>
      </c>
      <c r="E14" s="347">
        <f>'t6'!W15+'t6'!X15</f>
        <v>0</v>
      </c>
      <c r="F14" s="347">
        <f>'t4'!K23</f>
        <v>0</v>
      </c>
      <c r="G14" s="347">
        <f t="shared" si="1"/>
        <v>0</v>
      </c>
      <c r="H14" s="347">
        <f>'t4'!T14</f>
        <v>0</v>
      </c>
      <c r="I14" s="181" t="str">
        <f t="shared" si="0"/>
        <v>OK</v>
      </c>
    </row>
    <row r="15" spans="1:9" ht="12.75" customHeight="1">
      <c r="A15" s="141" t="str">
        <f>'t1'!A15</f>
        <v>POSIZIONE ECONOMICA B4</v>
      </c>
      <c r="B15" s="190" t="str">
        <f>'t1'!B15</f>
        <v>036000</v>
      </c>
      <c r="C15" s="346">
        <f>'t1'!C15+'t1'!D15</f>
        <v>0</v>
      </c>
      <c r="D15" s="346">
        <f>'t5'!S16+'t5'!T16</f>
        <v>0</v>
      </c>
      <c r="E15" s="347">
        <f>'t6'!W16+'t6'!X16</f>
        <v>0</v>
      </c>
      <c r="F15" s="347">
        <f>'t4'!L23</f>
        <v>0</v>
      </c>
      <c r="G15" s="347">
        <f t="shared" si="1"/>
        <v>0</v>
      </c>
      <c r="H15" s="347">
        <f>'t4'!T15</f>
        <v>0</v>
      </c>
      <c r="I15" s="181" t="str">
        <f t="shared" si="0"/>
        <v>OK</v>
      </c>
    </row>
    <row r="16" spans="1:9" ht="12.75" customHeight="1">
      <c r="A16" s="141" t="str">
        <f>'t1'!A16</f>
        <v>POSIZIONE ECONOMICA B3</v>
      </c>
      <c r="B16" s="190" t="str">
        <f>'t1'!B16</f>
        <v>034000</v>
      </c>
      <c r="C16" s="346">
        <f>'t1'!C16+'t1'!D16</f>
        <v>0</v>
      </c>
      <c r="D16" s="346">
        <f>'t5'!S17+'t5'!T17</f>
        <v>0</v>
      </c>
      <c r="E16" s="347">
        <f>'t6'!W17+'t6'!X17</f>
        <v>0</v>
      </c>
      <c r="F16" s="347">
        <f>'t4'!M23</f>
        <v>0</v>
      </c>
      <c r="G16" s="347">
        <f t="shared" si="1"/>
        <v>0</v>
      </c>
      <c r="H16" s="347">
        <f>'t4'!T16</f>
        <v>0</v>
      </c>
      <c r="I16" s="181" t="str">
        <f t="shared" si="0"/>
        <v>OK</v>
      </c>
    </row>
    <row r="17" spans="1:9" ht="12.75" customHeight="1">
      <c r="A17" s="141" t="str">
        <f>'t1'!A17</f>
        <v>POSIZIONE ECONOMICA B2</v>
      </c>
      <c r="B17" s="190" t="str">
        <f>'t1'!B17</f>
        <v>032000</v>
      </c>
      <c r="C17" s="346">
        <f>'t1'!C17+'t1'!D17</f>
        <v>0</v>
      </c>
      <c r="D17" s="346">
        <f>'t5'!S18+'t5'!T18</f>
        <v>0</v>
      </c>
      <c r="E17" s="347">
        <f>'t6'!W18+'t6'!X18</f>
        <v>0</v>
      </c>
      <c r="F17" s="347">
        <f>'t4'!N23</f>
        <v>0</v>
      </c>
      <c r="G17" s="347">
        <f t="shared" si="1"/>
        <v>0</v>
      </c>
      <c r="H17" s="347">
        <f>'t4'!T17</f>
        <v>0</v>
      </c>
      <c r="I17" s="181" t="str">
        <f t="shared" si="0"/>
        <v>OK</v>
      </c>
    </row>
    <row r="18" spans="1:9" ht="12.75" customHeight="1">
      <c r="A18" s="141" t="str">
        <f>'t1'!A18</f>
        <v>POSIZIONE ECONOMICA B1</v>
      </c>
      <c r="B18" s="190" t="str">
        <f>'t1'!B18</f>
        <v>030000</v>
      </c>
      <c r="C18" s="346">
        <f>'t1'!C18+'t1'!D18</f>
        <v>0</v>
      </c>
      <c r="D18" s="346">
        <f>'t5'!S19+'t5'!T19</f>
        <v>0</v>
      </c>
      <c r="E18" s="347">
        <f>'t6'!W19+'t6'!X19</f>
        <v>0</v>
      </c>
      <c r="F18" s="347">
        <f>'t4'!O23</f>
        <v>0</v>
      </c>
      <c r="G18" s="347">
        <f t="shared" si="1"/>
        <v>0</v>
      </c>
      <c r="H18" s="347">
        <f>'t4'!T18</f>
        <v>0</v>
      </c>
      <c r="I18" s="181" t="str">
        <f t="shared" si="0"/>
        <v>OK</v>
      </c>
    </row>
    <row r="19" spans="1:9" ht="12.75" customHeight="1">
      <c r="A19" s="141" t="str">
        <f>'t1'!A19</f>
        <v>POSIZIONE ECONOMICA A3</v>
      </c>
      <c r="B19" s="190" t="str">
        <f>'t1'!B19</f>
        <v>027000</v>
      </c>
      <c r="C19" s="346">
        <f>'t1'!C19+'t1'!D19</f>
        <v>0</v>
      </c>
      <c r="D19" s="346">
        <f>'t5'!S20+'t5'!T20</f>
        <v>0</v>
      </c>
      <c r="E19" s="347">
        <f>'t6'!W20+'t6'!X20</f>
        <v>0</v>
      </c>
      <c r="F19" s="347">
        <f>'t4'!P23</f>
        <v>0</v>
      </c>
      <c r="G19" s="347">
        <f t="shared" si="1"/>
        <v>0</v>
      </c>
      <c r="H19" s="347">
        <f>'t4'!T19</f>
        <v>0</v>
      </c>
      <c r="I19" s="181" t="str">
        <f t="shared" si="0"/>
        <v>OK</v>
      </c>
    </row>
    <row r="20" spans="1:9" ht="12.75" customHeight="1">
      <c r="A20" s="141" t="str">
        <f>'t1'!A20</f>
        <v>POSIZIONE ECONOMICA A2</v>
      </c>
      <c r="B20" s="190" t="str">
        <f>'t1'!B20</f>
        <v>025000</v>
      </c>
      <c r="C20" s="346">
        <f>'t1'!C20+'t1'!D20</f>
        <v>0</v>
      </c>
      <c r="D20" s="346">
        <f>'t5'!S21+'t5'!T21</f>
        <v>0</v>
      </c>
      <c r="E20" s="347">
        <f>'t6'!W21+'t6'!X21</f>
        <v>0</v>
      </c>
      <c r="F20" s="347">
        <f>'t4'!Q23</f>
        <v>0</v>
      </c>
      <c r="G20" s="347">
        <f t="shared" si="1"/>
        <v>0</v>
      </c>
      <c r="H20" s="347">
        <f>'t4'!T20</f>
        <v>0</v>
      </c>
      <c r="I20" s="181" t="str">
        <f t="shared" si="0"/>
        <v>OK</v>
      </c>
    </row>
    <row r="21" spans="1:9" ht="12.75" customHeight="1">
      <c r="A21" s="141" t="str">
        <f>'t1'!A21</f>
        <v>POSIZIONE ECONOMICA A1</v>
      </c>
      <c r="B21" s="190" t="str">
        <f>'t1'!B21</f>
        <v>023000</v>
      </c>
      <c r="C21" s="346">
        <f>'t1'!C21+'t1'!D21</f>
        <v>0</v>
      </c>
      <c r="D21" s="346">
        <f>'t5'!S22+'t5'!T22</f>
        <v>0</v>
      </c>
      <c r="E21" s="347">
        <f>'t6'!W22+'t6'!X22</f>
        <v>0</v>
      </c>
      <c r="F21" s="347">
        <f>'t4'!R23</f>
        <v>0</v>
      </c>
      <c r="G21" s="347">
        <f t="shared" si="1"/>
        <v>0</v>
      </c>
      <c r="H21" s="347">
        <f>'t4'!T21</f>
        <v>0</v>
      </c>
      <c r="I21" s="181" t="str">
        <f t="shared" si="0"/>
        <v>OK</v>
      </c>
    </row>
    <row r="22" spans="1:9" ht="12.75" customHeight="1">
      <c r="A22" s="141" t="str">
        <f>'t1'!A22</f>
        <v>CONTRATTISTI (a)</v>
      </c>
      <c r="B22" s="190" t="str">
        <f>'t1'!B22</f>
        <v>000061</v>
      </c>
      <c r="C22" s="346">
        <f>'t1'!C22+'t1'!D22</f>
        <v>0</v>
      </c>
      <c r="D22" s="346">
        <f>'t5'!S23+'t5'!T23</f>
        <v>0</v>
      </c>
      <c r="E22" s="347">
        <f>'t6'!W23+'t6'!X23</f>
        <v>0</v>
      </c>
      <c r="F22" s="347">
        <f>'t4'!S23</f>
        <v>0</v>
      </c>
      <c r="G22" s="347">
        <f t="shared" si="1"/>
        <v>0</v>
      </c>
      <c r="H22" s="347">
        <f>'t4'!T22</f>
        <v>0</v>
      </c>
      <c r="I22" s="181" t="str">
        <f t="shared" si="0"/>
        <v>OK</v>
      </c>
    </row>
    <row r="23" spans="1:9" s="353" customFormat="1" ht="15.75" customHeight="1">
      <c r="A23" s="749" t="str">
        <f>'t1'!A23</f>
        <v>TOTALE</v>
      </c>
      <c r="B23" s="211"/>
      <c r="C23" s="371">
        <f aca="true" t="shared" si="2" ref="C23:H23">SUM(C6:C22)</f>
        <v>0</v>
      </c>
      <c r="D23" s="371">
        <f t="shared" si="2"/>
        <v>0</v>
      </c>
      <c r="E23" s="371">
        <f t="shared" si="2"/>
        <v>0</v>
      </c>
      <c r="F23" s="371">
        <f t="shared" si="2"/>
        <v>0</v>
      </c>
      <c r="G23" s="371">
        <f t="shared" si="2"/>
        <v>0</v>
      </c>
      <c r="H23" s="371">
        <f t="shared" si="2"/>
        <v>0</v>
      </c>
      <c r="I23" s="182" t="str">
        <f>IF(H23&lt;=G23,"OK","ERRORE")</f>
        <v>OK</v>
      </c>
    </row>
  </sheetData>
  <sheetProtection password="EA98" sheet="1" formatColumns="0" selectLockedCells="1" selectUnlockedCells="1"/>
  <mergeCells count="2">
    <mergeCell ref="D2:I2"/>
    <mergeCell ref="A1:G1"/>
  </mergeCells>
  <printOptions horizontalCentered="1" verticalCentered="1"/>
  <pageMargins left="0" right="0" top="0.15748031496062992" bottom="0.15748031496062992" header="0.1968503937007874" footer="0.1968503937007874"/>
  <pageSetup horizontalDpi="300" verticalDpi="300" orientation="landscape" paperSize="9" scale="80" r:id="rId2"/>
  <drawing r:id="rId1"/>
</worksheet>
</file>

<file path=xl/worksheets/sheet29.xml><?xml version="1.0" encoding="utf-8"?>
<worksheet xmlns="http://schemas.openxmlformats.org/spreadsheetml/2006/main" xmlns:r="http://schemas.openxmlformats.org/officeDocument/2006/relationships">
  <sheetPr codeName="Foglio26"/>
  <dimension ref="A1:M21"/>
  <sheetViews>
    <sheetView showGridLines="0" zoomScalePageLayoutView="0" workbookViewId="0" topLeftCell="A1">
      <selection activeCell="C2" sqref="C2:E2"/>
    </sheetView>
  </sheetViews>
  <sheetFormatPr defaultColWidth="9.33203125" defaultRowHeight="10.5"/>
  <cols>
    <col min="1" max="1" width="57.83203125" style="5" customWidth="1"/>
    <col min="2" max="3" width="19.83203125" style="5" customWidth="1"/>
    <col min="4" max="4" width="26.83203125" style="5" customWidth="1"/>
    <col min="5" max="5" width="25.16015625" style="5" customWidth="1"/>
    <col min="6" max="16384" width="9.33203125" style="5" customWidth="1"/>
  </cols>
  <sheetData>
    <row r="1" spans="1:13" ht="43.5" customHeight="1">
      <c r="A1" s="1349" t="str">
        <f>'t1'!A1</f>
        <v>CNEL - anno 2018</v>
      </c>
      <c r="B1" s="1349"/>
      <c r="C1" s="1349"/>
      <c r="D1" s="1349"/>
      <c r="E1" s="318"/>
      <c r="F1" s="321"/>
      <c r="G1" s="321"/>
      <c r="H1" s="321"/>
      <c r="I1" s="321"/>
      <c r="K1" s="3"/>
      <c r="M1"/>
    </row>
    <row r="2" spans="1:13" ht="15.75" thickBot="1">
      <c r="A2" s="959" t="s">
        <v>653</v>
      </c>
      <c r="C2" s="1439"/>
      <c r="D2" s="1439"/>
      <c r="E2" s="1439"/>
      <c r="F2" s="322"/>
      <c r="G2" s="322"/>
      <c r="H2" s="322"/>
      <c r="I2" s="322"/>
      <c r="K2" s="3"/>
      <c r="M2"/>
    </row>
    <row r="3" spans="1:5" ht="30" customHeight="1" thickBot="1">
      <c r="A3" s="1447" t="s">
        <v>654</v>
      </c>
      <c r="B3" s="1448"/>
      <c r="C3" s="1448"/>
      <c r="D3" s="1448"/>
      <c r="E3" s="1449"/>
    </row>
    <row r="4" spans="1:5" s="201" customFormat="1" ht="30">
      <c r="A4" s="690" t="s">
        <v>655</v>
      </c>
      <c r="B4" s="691" t="s">
        <v>656</v>
      </c>
      <c r="C4" s="691" t="s">
        <v>236</v>
      </c>
      <c r="D4" s="692" t="s">
        <v>237</v>
      </c>
      <c r="E4" s="693" t="s">
        <v>434</v>
      </c>
    </row>
    <row r="5" spans="1:5" ht="20.25" customHeight="1">
      <c r="A5" s="205" t="s">
        <v>42</v>
      </c>
      <c r="B5" s="844">
        <f>SI_1!G56</f>
        <v>0</v>
      </c>
      <c r="C5" s="209">
        <f>'t14'!D12</f>
        <v>0</v>
      </c>
      <c r="D5" s="212" t="str">
        <f>IF(B5=0,IF(C5=0,"OK","MANCANO LE UNITA'"),IF(C5=0,"MANCANO LE SPESE","OK"))</f>
        <v>OK</v>
      </c>
      <c r="E5" s="208" t="str">
        <f>IF(AND(B5&gt;0,C5&gt;0),C5/B5," ")</f>
        <v> </v>
      </c>
    </row>
    <row r="6" spans="1:5" ht="20.25" customHeight="1">
      <c r="A6" s="205" t="s">
        <v>15</v>
      </c>
      <c r="B6" s="844">
        <f>SI_1!G59</f>
        <v>0</v>
      </c>
      <c r="C6" s="209">
        <f>'t14'!D13</f>
        <v>0</v>
      </c>
      <c r="D6" s="212" t="str">
        <f>IF(B6=0,IF(C6=0,"OK","MANCANO LE UNITA'"),IF(C6=0,"MANCANO LE SPESE","OK"))</f>
        <v>OK</v>
      </c>
      <c r="E6" s="208" t="str">
        <f>IF(AND(B6&gt;0,C6&gt;0),C6/B6," ")</f>
        <v> </v>
      </c>
    </row>
    <row r="7" spans="1:5" ht="20.25" customHeight="1" thickBot="1">
      <c r="A7" s="206" t="s">
        <v>16</v>
      </c>
      <c r="B7" s="845">
        <f>SI_1!G62</f>
        <v>0</v>
      </c>
      <c r="C7" s="210">
        <f>'t14'!D14</f>
        <v>0</v>
      </c>
      <c r="D7" s="213" t="str">
        <f>IF(B7=0,IF(C7=0,"OK","MANCANO LE UNITA'"),IF(C7=0,"MANCANO LE SPESE","OK"))</f>
        <v>OK</v>
      </c>
      <c r="E7" s="517" t="str">
        <f>IF(AND(B7&gt;0,C7&gt;0),C7/B7," ")</f>
        <v> </v>
      </c>
    </row>
    <row r="10" ht="18" thickBot="1">
      <c r="A10" s="960" t="s">
        <v>657</v>
      </c>
    </row>
    <row r="11" spans="1:5" ht="30" customHeight="1" thickBot="1">
      <c r="A11" s="1447" t="s">
        <v>658</v>
      </c>
      <c r="B11" s="1448"/>
      <c r="C11" s="1448"/>
      <c r="D11" s="1448"/>
      <c r="E11" s="1449"/>
    </row>
    <row r="12" spans="1:5" s="201" customFormat="1" ht="30.75" thickBot="1">
      <c r="A12" s="690" t="s">
        <v>659</v>
      </c>
      <c r="B12" s="691" t="s">
        <v>660</v>
      </c>
      <c r="C12" s="691" t="s">
        <v>236</v>
      </c>
      <c r="D12" s="692" t="s">
        <v>237</v>
      </c>
      <c r="E12" s="693" t="s">
        <v>434</v>
      </c>
    </row>
    <row r="13" spans="1:5" ht="19.5" customHeight="1">
      <c r="A13" s="514" t="s">
        <v>196</v>
      </c>
      <c r="B13" s="843">
        <f>'t2'!C10+'t2'!D10</f>
        <v>0</v>
      </c>
      <c r="C13" s="515">
        <f>'t14'!D16</f>
        <v>0</v>
      </c>
      <c r="D13" s="516" t="str">
        <f>IF(B13=0,IF(C13=0,"OK","MANCANO LE UNITA'"),IF(C13=0,"MANCANO LE SPESE","OK"))</f>
        <v>OK</v>
      </c>
      <c r="E13" s="207" t="str">
        <f>IF(AND(B13&gt;0,C13&gt;0),C13/B13," ")</f>
        <v> </v>
      </c>
    </row>
    <row r="14" spans="1:5" ht="19.5" customHeight="1">
      <c r="A14" s="205" t="s">
        <v>197</v>
      </c>
      <c r="B14" s="844">
        <f>'t2'!E10+'t2'!F10</f>
        <v>0</v>
      </c>
      <c r="C14" s="209">
        <f>'t14'!D17</f>
        <v>0</v>
      </c>
      <c r="D14" s="212" t="str">
        <f>IF(B14=0,IF(C14=0,"OK","MANCANO LE UNITA'"),IF(C14=0,"MANCANO LE SPESE","OK"))</f>
        <v>OK</v>
      </c>
      <c r="E14" s="208" t="str">
        <f>IF(AND(B14&gt;0,C14&gt;0),C14/B14," ")</f>
        <v> </v>
      </c>
    </row>
    <row r="15" spans="1:5" ht="19.5" customHeight="1">
      <c r="A15" s="205" t="s">
        <v>53</v>
      </c>
      <c r="B15" s="844">
        <f>'t2'!G10+'t2'!H10</f>
        <v>0</v>
      </c>
      <c r="C15" s="209">
        <f>'t14'!D23</f>
        <v>0</v>
      </c>
      <c r="D15" s="212" t="str">
        <f>IF(B15=0,IF(C15=0,"OK","MANCANO LE UNITA'"),IF(C15=0,"MANCANO LE SPESE","OK"))</f>
        <v>OK</v>
      </c>
      <c r="E15" s="208" t="str">
        <f>IF(AND(B15&gt;0,C15&gt;0),C15/B15," ")</f>
        <v> </v>
      </c>
    </row>
    <row r="16" spans="1:5" ht="19.5" customHeight="1">
      <c r="A16" s="205" t="s">
        <v>198</v>
      </c>
      <c r="B16" s="844">
        <f>'t2'!I10+'t2'!J10</f>
        <v>0</v>
      </c>
      <c r="C16" s="209">
        <f>'t14'!D24</f>
        <v>0</v>
      </c>
      <c r="D16" s="212" t="str">
        <f>IF(B16=0,IF(C16=0,"OK","MANCANO LE UNITA'"),IF(C16=0,"MANCANO LE SPESE","OK"))</f>
        <v>OK</v>
      </c>
      <c r="E16" s="208" t="str">
        <f>IF(AND(B16&gt;0,C16&gt;0),C16/B16," ")</f>
        <v> </v>
      </c>
    </row>
    <row r="17" spans="1:5" ht="14.25" thickBot="1">
      <c r="A17" s="956"/>
      <c r="B17" s="957"/>
      <c r="C17" s="957"/>
      <c r="D17" s="957"/>
      <c r="E17" s="958"/>
    </row>
    <row r="18" spans="1:5" s="201" customFormat="1" ht="30">
      <c r="A18" s="533" t="s">
        <v>432</v>
      </c>
      <c r="B18" s="534" t="s">
        <v>433</v>
      </c>
      <c r="C18" s="534" t="s">
        <v>236</v>
      </c>
      <c r="D18" s="535" t="s">
        <v>436</v>
      </c>
      <c r="E18" s="715" t="s">
        <v>435</v>
      </c>
    </row>
    <row r="19" spans="1:5" ht="27.75" customHeight="1">
      <c r="A19" s="689" t="str">
        <f>'t14'!A10</f>
        <v>SOMME CORRISPOSTE AD AGENZIA DI SOMMINISTRAZIONE(INTERINALI)</v>
      </c>
      <c r="B19" s="181" t="str">
        <f>'t14'!B10</f>
        <v>L105</v>
      </c>
      <c r="C19" s="742">
        <f>'t14'!D10</f>
        <v>0</v>
      </c>
      <c r="D19" s="716" t="str">
        <f>(IF(AND(C19=0,C20&gt;0),"INSERIRE SOMME SPETTANTI ALL'AGENZIA (L105)","OK"))</f>
        <v>OK</v>
      </c>
      <c r="E19" s="1450" t="str">
        <f>(IF(AND(C19&gt;0,C20&gt;0),C19/C20," "))</f>
        <v> </v>
      </c>
    </row>
    <row r="20" spans="1:5" ht="27.75" customHeight="1">
      <c r="A20" s="694" t="str">
        <f>'t14'!A23</f>
        <v>ONERI PER I CONTRATTI DI SOMMINISTRAZIONE(INTERINALI)</v>
      </c>
      <c r="B20" s="695" t="str">
        <f>'t14'!B23</f>
        <v>P062</v>
      </c>
      <c r="C20" s="743">
        <f>'t14'!D23</f>
        <v>0</v>
      </c>
      <c r="D20" s="717" t="str">
        <f>(IF(AND(C20=0,C19&gt;0),"INSERIRE RETRIBUZIONI PER INTERINALI (P062)","OK"))</f>
        <v>OK</v>
      </c>
      <c r="E20" s="1451"/>
    </row>
    <row r="21" spans="1:5" ht="40.5" customHeight="1" thickBot="1">
      <c r="A21" s="1453" t="s">
        <v>445</v>
      </c>
      <c r="B21" s="1454"/>
      <c r="C21" s="1455"/>
      <c r="D21" s="718" t="str">
        <f>(IF(AND(C19&gt;0,C20&gt;0),IF(C19&gt;(C20/100*30),"ATTENZIONE: la voce L105 supera il 30% della voce P062. L'IN1 andrà giustificata","OK"),"OK"))</f>
        <v>OK</v>
      </c>
      <c r="E21" s="1452"/>
    </row>
  </sheetData>
  <sheetProtection password="EA98" sheet="1" formatColumns="0" selectLockedCells="1" selectUnlockedCells="1"/>
  <mergeCells count="6">
    <mergeCell ref="A3:E3"/>
    <mergeCell ref="A1:D1"/>
    <mergeCell ref="C2:E2"/>
    <mergeCell ref="E19:E21"/>
    <mergeCell ref="A21:C21"/>
    <mergeCell ref="A11:E11"/>
  </mergeCells>
  <conditionalFormatting sqref="D5:D7 D13:D16 D19:D21">
    <cfRule type="notContainsText" priority="1" dxfId="15" operator="notContains" stopIfTrue="1" text="ok">
      <formula>ISERROR(SEARCH("ok",D5))</formula>
    </cfRule>
  </conditionalFormatting>
  <printOptions horizontalCentered="1" verticalCentered="1"/>
  <pageMargins left="0" right="0" top="0.1968503937007874" bottom="0.31496062992125984" header="0.5118110236220472" footer="0.5118110236220472"/>
  <pageSetup horizontalDpi="300" verticalDpi="300" orientation="landscape" paperSize="9" scale="90" r:id="rId2"/>
  <drawing r:id="rId1"/>
</worksheet>
</file>

<file path=xl/worksheets/sheet3.xml><?xml version="1.0" encoding="utf-8"?>
<worksheet xmlns="http://schemas.openxmlformats.org/spreadsheetml/2006/main" xmlns:r="http://schemas.openxmlformats.org/officeDocument/2006/relationships">
  <sheetPr codeName="Foglio8"/>
  <dimension ref="A1:AK27"/>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AA6" sqref="AA6"/>
    </sheetView>
  </sheetViews>
  <sheetFormatPr defaultColWidth="9.33203125" defaultRowHeight="10.5"/>
  <cols>
    <col min="1" max="1" width="47.16015625" style="5" customWidth="1"/>
    <col min="2" max="2" width="9.66015625" style="7" customWidth="1"/>
    <col min="3" max="12" width="11.33203125" style="5" hidden="1" customWidth="1"/>
    <col min="13" max="13" width="9.33203125" style="902" hidden="1" customWidth="1"/>
    <col min="14" max="14" width="10.33203125" style="1143" hidden="1" customWidth="1"/>
    <col min="15" max="26" width="9.33203125" style="5" hidden="1" customWidth="1"/>
    <col min="27" max="36" width="11.33203125" style="5" customWidth="1"/>
    <col min="37" max="37" width="9.33203125" style="902" customWidth="1"/>
    <col min="38" max="16384" width="9.33203125" style="5" customWidth="1"/>
  </cols>
  <sheetData>
    <row r="1" spans="1:35" ht="24.75" customHeight="1" thickBot="1">
      <c r="A1" s="938" t="str">
        <f>"CNEL"&amp;" - anno "&amp;$L$1</f>
        <v>CNEL - anno 2018</v>
      </c>
      <c r="B1" s="938"/>
      <c r="C1" s="938"/>
      <c r="D1" s="938"/>
      <c r="E1" s="938"/>
      <c r="F1" s="938"/>
      <c r="G1" s="938"/>
      <c r="H1" s="938"/>
      <c r="I1" s="938"/>
      <c r="J1" s="938"/>
      <c r="K1" s="938"/>
      <c r="L1" s="745">
        <v>2018</v>
      </c>
      <c r="M1" s="938"/>
      <c r="N1" s="972"/>
      <c r="O1" s="938"/>
      <c r="P1" s="938"/>
      <c r="Q1" s="938"/>
      <c r="R1" s="938"/>
      <c r="S1" s="938"/>
      <c r="T1" s="938"/>
      <c r="U1" s="938"/>
      <c r="V1" s="938"/>
      <c r="W1" s="938"/>
      <c r="X1" s="938"/>
      <c r="Y1" s="938"/>
      <c r="Z1" s="938"/>
      <c r="AA1" s="938"/>
      <c r="AB1" s="938"/>
      <c r="AC1" s="938"/>
      <c r="AD1" s="938"/>
      <c r="AE1" s="938"/>
      <c r="AF1" s="938"/>
      <c r="AG1" s="938"/>
      <c r="AH1" s="938"/>
      <c r="AI1" s="938"/>
    </row>
    <row r="2" spans="1:36" ht="30" customHeight="1" thickBot="1">
      <c r="A2" s="406"/>
      <c r="B2" s="407"/>
      <c r="C2" s="374"/>
      <c r="D2" s="374"/>
      <c r="E2" s="374"/>
      <c r="F2" s="374"/>
      <c r="G2" s="1322"/>
      <c r="H2" s="1323"/>
      <c r="I2" s="1323"/>
      <c r="J2" s="1323"/>
      <c r="K2" s="1323"/>
      <c r="L2" s="1324"/>
      <c r="AA2" s="374"/>
      <c r="AB2" s="374"/>
      <c r="AC2" s="374"/>
      <c r="AD2" s="374"/>
      <c r="AE2" s="1325"/>
      <c r="AF2" s="1325"/>
      <c r="AG2" s="1325"/>
      <c r="AH2" s="1325"/>
      <c r="AI2" s="1325"/>
      <c r="AJ2" s="1325"/>
    </row>
    <row r="3" spans="1:36" ht="15" customHeight="1" thickBot="1">
      <c r="A3" s="376"/>
      <c r="B3" s="377"/>
      <c r="C3" s="1319" t="s">
        <v>73</v>
      </c>
      <c r="D3" s="1319"/>
      <c r="E3" s="1319"/>
      <c r="F3" s="1319"/>
      <c r="G3" s="1320"/>
      <c r="H3" s="1320"/>
      <c r="I3" s="1320"/>
      <c r="J3" s="1320"/>
      <c r="K3" s="1320"/>
      <c r="L3" s="1321"/>
      <c r="AA3" s="1326" t="s">
        <v>73</v>
      </c>
      <c r="AB3" s="1327"/>
      <c r="AC3" s="1327"/>
      <c r="AD3" s="1327"/>
      <c r="AE3" s="1327"/>
      <c r="AF3" s="1327"/>
      <c r="AG3" s="1327"/>
      <c r="AH3" s="1327"/>
      <c r="AI3" s="1327"/>
      <c r="AJ3" s="1328"/>
    </row>
    <row r="4" spans="1:36" ht="21" thickTop="1">
      <c r="A4" s="887" t="s">
        <v>142</v>
      </c>
      <c r="B4" s="888" t="s">
        <v>74</v>
      </c>
      <c r="C4" s="23" t="str">
        <f>"Totale dipendenti al 31/12/"&amp;L1-1&amp;" (*)"</f>
        <v>Totale dipendenti al 31/12/2017 (*)</v>
      </c>
      <c r="D4" s="22"/>
      <c r="E4" s="21" t="s">
        <v>78</v>
      </c>
      <c r="F4" s="22"/>
      <c r="G4" s="23" t="s">
        <v>134</v>
      </c>
      <c r="H4" s="22"/>
      <c r="I4" s="23" t="s">
        <v>135</v>
      </c>
      <c r="J4" s="22"/>
      <c r="K4" s="23" t="str">
        <f>"Totale dipendenti al 31/12/"&amp;L1&amp;" (**)"</f>
        <v>Totale dipendenti al 31/12/2018 (**)</v>
      </c>
      <c r="L4" s="304"/>
      <c r="AA4" s="1171" t="str">
        <f>"Totale dipendenti al 31/12/"&amp;L1-1&amp;" (*)"</f>
        <v>Totale dipendenti al 31/12/2017 (*)</v>
      </c>
      <c r="AB4" s="1172"/>
      <c r="AC4" s="1173" t="s">
        <v>78</v>
      </c>
      <c r="AD4" s="1172"/>
      <c r="AE4" s="1171" t="s">
        <v>134</v>
      </c>
      <c r="AF4" s="1172"/>
      <c r="AG4" s="1171" t="s">
        <v>135</v>
      </c>
      <c r="AH4" s="1172"/>
      <c r="AI4" s="1171" t="str">
        <f>"Totale dipendenti al 31/12/"&amp;L1&amp;" (**)"</f>
        <v>Totale dipendenti al 31/12/2018 (**)</v>
      </c>
      <c r="AJ4" s="304"/>
    </row>
    <row r="5" spans="1:36" ht="10.5" thickBot="1">
      <c r="A5" s="890" t="s">
        <v>644</v>
      </c>
      <c r="B5" s="889"/>
      <c r="C5" s="248" t="s">
        <v>75</v>
      </c>
      <c r="D5" s="249" t="s">
        <v>76</v>
      </c>
      <c r="E5" s="248" t="s">
        <v>75</v>
      </c>
      <c r="F5" s="249" t="s">
        <v>76</v>
      </c>
      <c r="G5" s="248" t="s">
        <v>75</v>
      </c>
      <c r="H5" s="249" t="s">
        <v>76</v>
      </c>
      <c r="I5" s="248" t="s">
        <v>75</v>
      </c>
      <c r="J5" s="249" t="s">
        <v>76</v>
      </c>
      <c r="K5" s="248" t="s">
        <v>75</v>
      </c>
      <c r="L5" s="305" t="s">
        <v>76</v>
      </c>
      <c r="AA5" s="248" t="s">
        <v>75</v>
      </c>
      <c r="AB5" s="249" t="s">
        <v>76</v>
      </c>
      <c r="AC5" s="248" t="s">
        <v>75</v>
      </c>
      <c r="AD5" s="249" t="s">
        <v>76</v>
      </c>
      <c r="AE5" s="248" t="s">
        <v>75</v>
      </c>
      <c r="AF5" s="249" t="s">
        <v>76</v>
      </c>
      <c r="AG5" s="248" t="s">
        <v>75</v>
      </c>
      <c r="AH5" s="249" t="s">
        <v>76</v>
      </c>
      <c r="AI5" s="248" t="s">
        <v>75</v>
      </c>
      <c r="AJ5" s="305" t="s">
        <v>76</v>
      </c>
    </row>
    <row r="6" spans="1:37" ht="12.75" customHeight="1" thickTop="1">
      <c r="A6" s="158" t="s">
        <v>449</v>
      </c>
      <c r="B6" s="365" t="s">
        <v>450</v>
      </c>
      <c r="C6" s="904">
        <f>ROUND(AA6,0)</f>
        <v>0</v>
      </c>
      <c r="D6" s="905">
        <f aca="true" t="shared" si="0" ref="D6:D22">ROUND(AB6,0)</f>
        <v>0</v>
      </c>
      <c r="E6" s="906">
        <f aca="true" t="shared" si="1" ref="E6:E22">ROUND(AC6,0)</f>
        <v>0</v>
      </c>
      <c r="F6" s="907">
        <f aca="true" t="shared" si="2" ref="F6:F22">ROUND(AD6,0)</f>
        <v>0</v>
      </c>
      <c r="G6" s="906">
        <f aca="true" t="shared" si="3" ref="G6:G22">ROUND(AE6,0)</f>
        <v>0</v>
      </c>
      <c r="H6" s="907">
        <f aca="true" t="shared" si="4" ref="H6:H22">ROUND(AF6,0)</f>
        <v>0</v>
      </c>
      <c r="I6" s="906">
        <f aca="true" t="shared" si="5" ref="I6:I22">ROUND(AG6,0)</f>
        <v>0</v>
      </c>
      <c r="J6" s="907">
        <f aca="true" t="shared" si="6" ref="J6:J22">ROUND(AH6,0)</f>
        <v>0</v>
      </c>
      <c r="K6" s="432">
        <f>E6+G6+I6</f>
        <v>0</v>
      </c>
      <c r="L6" s="433">
        <f>F6+H6+J6</f>
        <v>0</v>
      </c>
      <c r="M6" s="903">
        <f>K6+L6</f>
        <v>0</v>
      </c>
      <c r="N6" s="1144" t="s">
        <v>506</v>
      </c>
      <c r="AA6" s="332"/>
      <c r="AB6" s="333"/>
      <c r="AC6" s="331"/>
      <c r="AD6" s="256"/>
      <c r="AE6" s="331"/>
      <c r="AF6" s="256"/>
      <c r="AG6" s="331"/>
      <c r="AH6" s="256"/>
      <c r="AI6" s="432">
        <f>AC6+AE6+AG6</f>
        <v>0</v>
      </c>
      <c r="AJ6" s="433">
        <f>AD6+AF6+AH6</f>
        <v>0</v>
      </c>
      <c r="AK6" s="903">
        <f>AI6+AJ6</f>
        <v>0</v>
      </c>
    </row>
    <row r="7" spans="1:37" ht="12.75" customHeight="1">
      <c r="A7" s="158" t="s">
        <v>451</v>
      </c>
      <c r="B7" s="366" t="s">
        <v>452</v>
      </c>
      <c r="C7" s="904">
        <f aca="true" t="shared" si="7" ref="C7:C22">ROUND(AA7,0)</f>
        <v>0</v>
      </c>
      <c r="D7" s="905">
        <f t="shared" si="0"/>
        <v>0</v>
      </c>
      <c r="E7" s="906">
        <f t="shared" si="1"/>
        <v>0</v>
      </c>
      <c r="F7" s="907">
        <f t="shared" si="2"/>
        <v>0</v>
      </c>
      <c r="G7" s="906">
        <f t="shared" si="3"/>
        <v>0</v>
      </c>
      <c r="H7" s="907">
        <f t="shared" si="4"/>
        <v>0</v>
      </c>
      <c r="I7" s="906">
        <f t="shared" si="5"/>
        <v>0</v>
      </c>
      <c r="J7" s="907">
        <f t="shared" si="6"/>
        <v>0</v>
      </c>
      <c r="K7" s="432">
        <f aca="true" t="shared" si="8" ref="K7:K22">E7+G7+I7</f>
        <v>0</v>
      </c>
      <c r="L7" s="433">
        <f aca="true" t="shared" si="9" ref="L7:L22">F7+H7+J7</f>
        <v>0</v>
      </c>
      <c r="M7" s="903">
        <f aca="true" t="shared" si="10" ref="M7:M22">K7+L7</f>
        <v>0</v>
      </c>
      <c r="N7" s="1144" t="s">
        <v>506</v>
      </c>
      <c r="AA7" s="332"/>
      <c r="AB7" s="333"/>
      <c r="AC7" s="331"/>
      <c r="AD7" s="256"/>
      <c r="AE7" s="331"/>
      <c r="AF7" s="256"/>
      <c r="AG7" s="331"/>
      <c r="AH7" s="256"/>
      <c r="AI7" s="432">
        <f aca="true" t="shared" si="11" ref="AI7:AI22">AC7+AE7+AG7</f>
        <v>0</v>
      </c>
      <c r="AJ7" s="433">
        <f aca="true" t="shared" si="12" ref="AJ7:AJ22">AD7+AF7+AH7</f>
        <v>0</v>
      </c>
      <c r="AK7" s="903">
        <f aca="true" t="shared" si="13" ref="AK7:AK22">AI7+AJ7</f>
        <v>0</v>
      </c>
    </row>
    <row r="8" spans="1:37" ht="12.75" customHeight="1">
      <c r="A8" s="158" t="s">
        <v>453</v>
      </c>
      <c r="B8" s="366" t="s">
        <v>454</v>
      </c>
      <c r="C8" s="904">
        <f t="shared" si="7"/>
        <v>0</v>
      </c>
      <c r="D8" s="905">
        <f t="shared" si="0"/>
        <v>0</v>
      </c>
      <c r="E8" s="906">
        <f t="shared" si="1"/>
        <v>0</v>
      </c>
      <c r="F8" s="907">
        <f t="shared" si="2"/>
        <v>0</v>
      </c>
      <c r="G8" s="906">
        <f t="shared" si="3"/>
        <v>0</v>
      </c>
      <c r="H8" s="907">
        <f t="shared" si="4"/>
        <v>0</v>
      </c>
      <c r="I8" s="906">
        <f t="shared" si="5"/>
        <v>0</v>
      </c>
      <c r="J8" s="907">
        <f t="shared" si="6"/>
        <v>0</v>
      </c>
      <c r="K8" s="432">
        <f t="shared" si="8"/>
        <v>0</v>
      </c>
      <c r="L8" s="433">
        <f t="shared" si="9"/>
        <v>0</v>
      </c>
      <c r="M8" s="903">
        <f t="shared" si="10"/>
        <v>0</v>
      </c>
      <c r="N8" s="1144" t="s">
        <v>507</v>
      </c>
      <c r="AA8" s="332"/>
      <c r="AB8" s="333"/>
      <c r="AC8" s="331"/>
      <c r="AD8" s="256"/>
      <c r="AE8" s="331"/>
      <c r="AF8" s="256"/>
      <c r="AG8" s="331"/>
      <c r="AH8" s="256"/>
      <c r="AI8" s="432">
        <f t="shared" si="11"/>
        <v>0</v>
      </c>
      <c r="AJ8" s="433">
        <f t="shared" si="12"/>
        <v>0</v>
      </c>
      <c r="AK8" s="903">
        <f t="shared" si="13"/>
        <v>0</v>
      </c>
    </row>
    <row r="9" spans="1:37" ht="12.75" customHeight="1">
      <c r="A9" s="158" t="s">
        <v>455</v>
      </c>
      <c r="B9" s="366" t="s">
        <v>456</v>
      </c>
      <c r="C9" s="904">
        <f t="shared" si="7"/>
        <v>0</v>
      </c>
      <c r="D9" s="905">
        <f t="shared" si="0"/>
        <v>0</v>
      </c>
      <c r="E9" s="906">
        <f t="shared" si="1"/>
        <v>0</v>
      </c>
      <c r="F9" s="907">
        <f t="shared" si="2"/>
        <v>0</v>
      </c>
      <c r="G9" s="906">
        <f t="shared" si="3"/>
        <v>0</v>
      </c>
      <c r="H9" s="907">
        <f t="shared" si="4"/>
        <v>0</v>
      </c>
      <c r="I9" s="906">
        <f t="shared" si="5"/>
        <v>0</v>
      </c>
      <c r="J9" s="907">
        <f t="shared" si="6"/>
        <v>0</v>
      </c>
      <c r="K9" s="432">
        <f t="shared" si="8"/>
        <v>0</v>
      </c>
      <c r="L9" s="433">
        <f t="shared" si="9"/>
        <v>0</v>
      </c>
      <c r="M9" s="903">
        <f t="shared" si="10"/>
        <v>0</v>
      </c>
      <c r="N9" s="1144" t="s">
        <v>507</v>
      </c>
      <c r="AA9" s="332"/>
      <c r="AB9" s="333"/>
      <c r="AC9" s="331"/>
      <c r="AD9" s="256"/>
      <c r="AE9" s="331"/>
      <c r="AF9" s="256"/>
      <c r="AG9" s="331"/>
      <c r="AH9" s="256"/>
      <c r="AI9" s="432">
        <f t="shared" si="11"/>
        <v>0</v>
      </c>
      <c r="AJ9" s="433">
        <f t="shared" si="12"/>
        <v>0</v>
      </c>
      <c r="AK9" s="903">
        <f t="shared" si="13"/>
        <v>0</v>
      </c>
    </row>
    <row r="10" spans="1:37" ht="12.75" customHeight="1">
      <c r="A10" s="158" t="s">
        <v>457</v>
      </c>
      <c r="B10" s="366" t="s">
        <v>458</v>
      </c>
      <c r="C10" s="904">
        <f t="shared" si="7"/>
        <v>0</v>
      </c>
      <c r="D10" s="905">
        <f t="shared" si="0"/>
        <v>0</v>
      </c>
      <c r="E10" s="906">
        <f t="shared" si="1"/>
        <v>0</v>
      </c>
      <c r="F10" s="907">
        <f t="shared" si="2"/>
        <v>0</v>
      </c>
      <c r="G10" s="906">
        <f t="shared" si="3"/>
        <v>0</v>
      </c>
      <c r="H10" s="907">
        <f t="shared" si="4"/>
        <v>0</v>
      </c>
      <c r="I10" s="906">
        <f t="shared" si="5"/>
        <v>0</v>
      </c>
      <c r="J10" s="907">
        <f t="shared" si="6"/>
        <v>0</v>
      </c>
      <c r="K10" s="432">
        <f t="shared" si="8"/>
        <v>0</v>
      </c>
      <c r="L10" s="433">
        <f t="shared" si="9"/>
        <v>0</v>
      </c>
      <c r="M10" s="903">
        <f t="shared" si="10"/>
        <v>0</v>
      </c>
      <c r="N10" s="1144" t="s">
        <v>290</v>
      </c>
      <c r="AA10" s="332"/>
      <c r="AB10" s="333"/>
      <c r="AC10" s="331"/>
      <c r="AD10" s="256"/>
      <c r="AE10" s="331"/>
      <c r="AF10" s="256"/>
      <c r="AG10" s="331"/>
      <c r="AH10" s="256"/>
      <c r="AI10" s="432">
        <f t="shared" si="11"/>
        <v>0</v>
      </c>
      <c r="AJ10" s="433">
        <f t="shared" si="12"/>
        <v>0</v>
      </c>
      <c r="AK10" s="903">
        <f t="shared" si="13"/>
        <v>0</v>
      </c>
    </row>
    <row r="11" spans="1:37" ht="12.75" customHeight="1">
      <c r="A11" s="158" t="s">
        <v>459</v>
      </c>
      <c r="B11" s="366" t="s">
        <v>460</v>
      </c>
      <c r="C11" s="904">
        <f t="shared" si="7"/>
        <v>0</v>
      </c>
      <c r="D11" s="905">
        <f t="shared" si="0"/>
        <v>0</v>
      </c>
      <c r="E11" s="906">
        <f t="shared" si="1"/>
        <v>0</v>
      </c>
      <c r="F11" s="907">
        <f t="shared" si="2"/>
        <v>0</v>
      </c>
      <c r="G11" s="906">
        <f t="shared" si="3"/>
        <v>0</v>
      </c>
      <c r="H11" s="907">
        <f t="shared" si="4"/>
        <v>0</v>
      </c>
      <c r="I11" s="906">
        <f t="shared" si="5"/>
        <v>0</v>
      </c>
      <c r="J11" s="907">
        <f t="shared" si="6"/>
        <v>0</v>
      </c>
      <c r="K11" s="432">
        <f t="shared" si="8"/>
        <v>0</v>
      </c>
      <c r="L11" s="433">
        <f t="shared" si="9"/>
        <v>0</v>
      </c>
      <c r="M11" s="903">
        <f t="shared" si="10"/>
        <v>0</v>
      </c>
      <c r="N11" s="1144" t="s">
        <v>290</v>
      </c>
      <c r="AA11" s="332"/>
      <c r="AB11" s="333"/>
      <c r="AC11" s="331"/>
      <c r="AD11" s="256"/>
      <c r="AE11" s="331"/>
      <c r="AF11" s="256"/>
      <c r="AG11" s="331"/>
      <c r="AH11" s="256"/>
      <c r="AI11" s="432">
        <f t="shared" si="11"/>
        <v>0</v>
      </c>
      <c r="AJ11" s="433">
        <f t="shared" si="12"/>
        <v>0</v>
      </c>
      <c r="AK11" s="903">
        <f t="shared" si="13"/>
        <v>0</v>
      </c>
    </row>
    <row r="12" spans="1:37" ht="12.75" customHeight="1">
      <c r="A12" s="158" t="s">
        <v>461</v>
      </c>
      <c r="B12" s="366" t="s">
        <v>462</v>
      </c>
      <c r="C12" s="904">
        <f t="shared" si="7"/>
        <v>0</v>
      </c>
      <c r="D12" s="905">
        <f t="shared" si="0"/>
        <v>0</v>
      </c>
      <c r="E12" s="906">
        <f t="shared" si="1"/>
        <v>0</v>
      </c>
      <c r="F12" s="907">
        <f t="shared" si="2"/>
        <v>0</v>
      </c>
      <c r="G12" s="906">
        <f t="shared" si="3"/>
        <v>0</v>
      </c>
      <c r="H12" s="907">
        <f t="shared" si="4"/>
        <v>0</v>
      </c>
      <c r="I12" s="906">
        <f t="shared" si="5"/>
        <v>0</v>
      </c>
      <c r="J12" s="907">
        <f t="shared" si="6"/>
        <v>0</v>
      </c>
      <c r="K12" s="432">
        <f t="shared" si="8"/>
        <v>0</v>
      </c>
      <c r="L12" s="433">
        <f t="shared" si="9"/>
        <v>0</v>
      </c>
      <c r="M12" s="903">
        <f t="shared" si="10"/>
        <v>0</v>
      </c>
      <c r="N12" s="1144" t="s">
        <v>290</v>
      </c>
      <c r="AA12" s="332"/>
      <c r="AB12" s="333"/>
      <c r="AC12" s="331"/>
      <c r="AD12" s="256"/>
      <c r="AE12" s="331"/>
      <c r="AF12" s="256"/>
      <c r="AG12" s="331"/>
      <c r="AH12" s="256"/>
      <c r="AI12" s="432">
        <f t="shared" si="11"/>
        <v>0</v>
      </c>
      <c r="AJ12" s="433">
        <f t="shared" si="12"/>
        <v>0</v>
      </c>
      <c r="AK12" s="903">
        <f t="shared" si="13"/>
        <v>0</v>
      </c>
    </row>
    <row r="13" spans="1:37" ht="12.75" customHeight="1">
      <c r="A13" s="158" t="s">
        <v>463</v>
      </c>
      <c r="B13" s="366" t="s">
        <v>464</v>
      </c>
      <c r="C13" s="904">
        <f t="shared" si="7"/>
        <v>0</v>
      </c>
      <c r="D13" s="905">
        <f t="shared" si="0"/>
        <v>0</v>
      </c>
      <c r="E13" s="906">
        <f t="shared" si="1"/>
        <v>0</v>
      </c>
      <c r="F13" s="907">
        <f t="shared" si="2"/>
        <v>0</v>
      </c>
      <c r="G13" s="906">
        <f t="shared" si="3"/>
        <v>0</v>
      </c>
      <c r="H13" s="907">
        <f t="shared" si="4"/>
        <v>0</v>
      </c>
      <c r="I13" s="906">
        <f t="shared" si="5"/>
        <v>0</v>
      </c>
      <c r="J13" s="907">
        <f t="shared" si="6"/>
        <v>0</v>
      </c>
      <c r="K13" s="432">
        <f t="shared" si="8"/>
        <v>0</v>
      </c>
      <c r="L13" s="433">
        <f t="shared" si="9"/>
        <v>0</v>
      </c>
      <c r="M13" s="903">
        <f t="shared" si="10"/>
        <v>0</v>
      </c>
      <c r="N13" s="1144" t="s">
        <v>290</v>
      </c>
      <c r="AA13" s="332"/>
      <c r="AB13" s="333"/>
      <c r="AC13" s="331"/>
      <c r="AD13" s="256"/>
      <c r="AE13" s="331"/>
      <c r="AF13" s="256"/>
      <c r="AG13" s="331"/>
      <c r="AH13" s="256"/>
      <c r="AI13" s="432">
        <f t="shared" si="11"/>
        <v>0</v>
      </c>
      <c r="AJ13" s="433">
        <f t="shared" si="12"/>
        <v>0</v>
      </c>
      <c r="AK13" s="903">
        <f t="shared" si="13"/>
        <v>0</v>
      </c>
    </row>
    <row r="14" spans="1:37" ht="12.75" customHeight="1">
      <c r="A14" s="158" t="s">
        <v>465</v>
      </c>
      <c r="B14" s="366" t="s">
        <v>466</v>
      </c>
      <c r="C14" s="904">
        <f t="shared" si="7"/>
        <v>0</v>
      </c>
      <c r="D14" s="905">
        <f t="shared" si="0"/>
        <v>0</v>
      </c>
      <c r="E14" s="906">
        <f t="shared" si="1"/>
        <v>0</v>
      </c>
      <c r="F14" s="907">
        <f t="shared" si="2"/>
        <v>0</v>
      </c>
      <c r="G14" s="906">
        <f t="shared" si="3"/>
        <v>0</v>
      </c>
      <c r="H14" s="907">
        <f t="shared" si="4"/>
        <v>0</v>
      </c>
      <c r="I14" s="906">
        <f t="shared" si="5"/>
        <v>0</v>
      </c>
      <c r="J14" s="907">
        <f t="shared" si="6"/>
        <v>0</v>
      </c>
      <c r="K14" s="432">
        <f t="shared" si="8"/>
        <v>0</v>
      </c>
      <c r="L14" s="433">
        <f t="shared" si="9"/>
        <v>0</v>
      </c>
      <c r="M14" s="903">
        <f t="shared" si="10"/>
        <v>0</v>
      </c>
      <c r="N14" s="1144" t="s">
        <v>290</v>
      </c>
      <c r="AA14" s="332"/>
      <c r="AB14" s="333"/>
      <c r="AC14" s="331"/>
      <c r="AD14" s="256"/>
      <c r="AE14" s="331"/>
      <c r="AF14" s="256"/>
      <c r="AG14" s="331"/>
      <c r="AH14" s="256"/>
      <c r="AI14" s="432">
        <f t="shared" si="11"/>
        <v>0</v>
      </c>
      <c r="AJ14" s="433">
        <f t="shared" si="12"/>
        <v>0</v>
      </c>
      <c r="AK14" s="903">
        <f t="shared" si="13"/>
        <v>0</v>
      </c>
    </row>
    <row r="15" spans="1:37" ht="12.75" customHeight="1">
      <c r="A15" s="158" t="s">
        <v>467</v>
      </c>
      <c r="B15" s="366" t="s">
        <v>468</v>
      </c>
      <c r="C15" s="904">
        <f t="shared" si="7"/>
        <v>0</v>
      </c>
      <c r="D15" s="905">
        <f t="shared" si="0"/>
        <v>0</v>
      </c>
      <c r="E15" s="906">
        <f t="shared" si="1"/>
        <v>0</v>
      </c>
      <c r="F15" s="907">
        <f t="shared" si="2"/>
        <v>0</v>
      </c>
      <c r="G15" s="906">
        <f t="shared" si="3"/>
        <v>0</v>
      </c>
      <c r="H15" s="907">
        <f t="shared" si="4"/>
        <v>0</v>
      </c>
      <c r="I15" s="906">
        <f t="shared" si="5"/>
        <v>0</v>
      </c>
      <c r="J15" s="907">
        <f t="shared" si="6"/>
        <v>0</v>
      </c>
      <c r="K15" s="432">
        <f t="shared" si="8"/>
        <v>0</v>
      </c>
      <c r="L15" s="433">
        <f t="shared" si="9"/>
        <v>0</v>
      </c>
      <c r="M15" s="903">
        <f t="shared" si="10"/>
        <v>0</v>
      </c>
      <c r="N15" s="1144" t="s">
        <v>290</v>
      </c>
      <c r="AA15" s="332"/>
      <c r="AB15" s="333"/>
      <c r="AC15" s="331"/>
      <c r="AD15" s="256"/>
      <c r="AE15" s="331"/>
      <c r="AF15" s="256"/>
      <c r="AG15" s="331"/>
      <c r="AH15" s="256"/>
      <c r="AI15" s="432">
        <f t="shared" si="11"/>
        <v>0</v>
      </c>
      <c r="AJ15" s="433">
        <f t="shared" si="12"/>
        <v>0</v>
      </c>
      <c r="AK15" s="903">
        <f t="shared" si="13"/>
        <v>0</v>
      </c>
    </row>
    <row r="16" spans="1:37" ht="12.75" customHeight="1">
      <c r="A16" s="158" t="s">
        <v>469</v>
      </c>
      <c r="B16" s="366" t="s">
        <v>470</v>
      </c>
      <c r="C16" s="904">
        <f t="shared" si="7"/>
        <v>0</v>
      </c>
      <c r="D16" s="905">
        <f t="shared" si="0"/>
        <v>0</v>
      </c>
      <c r="E16" s="906">
        <f t="shared" si="1"/>
        <v>0</v>
      </c>
      <c r="F16" s="907">
        <f t="shared" si="2"/>
        <v>0</v>
      </c>
      <c r="G16" s="906">
        <f t="shared" si="3"/>
        <v>0</v>
      </c>
      <c r="H16" s="907">
        <f t="shared" si="4"/>
        <v>0</v>
      </c>
      <c r="I16" s="906">
        <f t="shared" si="5"/>
        <v>0</v>
      </c>
      <c r="J16" s="907">
        <f t="shared" si="6"/>
        <v>0</v>
      </c>
      <c r="K16" s="432">
        <f t="shared" si="8"/>
        <v>0</v>
      </c>
      <c r="L16" s="433">
        <f t="shared" si="9"/>
        <v>0</v>
      </c>
      <c r="M16" s="903">
        <f t="shared" si="10"/>
        <v>0</v>
      </c>
      <c r="N16" s="1144" t="s">
        <v>290</v>
      </c>
      <c r="AA16" s="332"/>
      <c r="AB16" s="333"/>
      <c r="AC16" s="331"/>
      <c r="AD16" s="256"/>
      <c r="AE16" s="331"/>
      <c r="AF16" s="256"/>
      <c r="AG16" s="331"/>
      <c r="AH16" s="256"/>
      <c r="AI16" s="432">
        <f t="shared" si="11"/>
        <v>0</v>
      </c>
      <c r="AJ16" s="433">
        <f t="shared" si="12"/>
        <v>0</v>
      </c>
      <c r="AK16" s="903">
        <f t="shared" si="13"/>
        <v>0</v>
      </c>
    </row>
    <row r="17" spans="1:37" ht="12.75" customHeight="1">
      <c r="A17" s="158" t="s">
        <v>471</v>
      </c>
      <c r="B17" s="366" t="s">
        <v>472</v>
      </c>
      <c r="C17" s="904">
        <f t="shared" si="7"/>
        <v>0</v>
      </c>
      <c r="D17" s="905">
        <f t="shared" si="0"/>
        <v>0</v>
      </c>
      <c r="E17" s="906">
        <f t="shared" si="1"/>
        <v>0</v>
      </c>
      <c r="F17" s="907">
        <f t="shared" si="2"/>
        <v>0</v>
      </c>
      <c r="G17" s="906">
        <f t="shared" si="3"/>
        <v>0</v>
      </c>
      <c r="H17" s="907">
        <f t="shared" si="4"/>
        <v>0</v>
      </c>
      <c r="I17" s="906">
        <f t="shared" si="5"/>
        <v>0</v>
      </c>
      <c r="J17" s="907">
        <f t="shared" si="6"/>
        <v>0</v>
      </c>
      <c r="K17" s="432">
        <f t="shared" si="8"/>
        <v>0</v>
      </c>
      <c r="L17" s="433">
        <f t="shared" si="9"/>
        <v>0</v>
      </c>
      <c r="M17" s="903">
        <f t="shared" si="10"/>
        <v>0</v>
      </c>
      <c r="N17" s="1144" t="s">
        <v>290</v>
      </c>
      <c r="AA17" s="332"/>
      <c r="AB17" s="333"/>
      <c r="AC17" s="331"/>
      <c r="AD17" s="256"/>
      <c r="AE17" s="331"/>
      <c r="AF17" s="256"/>
      <c r="AG17" s="331"/>
      <c r="AH17" s="256"/>
      <c r="AI17" s="432">
        <f t="shared" si="11"/>
        <v>0</v>
      </c>
      <c r="AJ17" s="433">
        <f t="shared" si="12"/>
        <v>0</v>
      </c>
      <c r="AK17" s="903">
        <f t="shared" si="13"/>
        <v>0</v>
      </c>
    </row>
    <row r="18" spans="1:37" ht="12.75" customHeight="1">
      <c r="A18" s="158" t="s">
        <v>473</v>
      </c>
      <c r="B18" s="366" t="s">
        <v>474</v>
      </c>
      <c r="C18" s="904">
        <f t="shared" si="7"/>
        <v>0</v>
      </c>
      <c r="D18" s="905">
        <f t="shared" si="0"/>
        <v>0</v>
      </c>
      <c r="E18" s="906">
        <f t="shared" si="1"/>
        <v>0</v>
      </c>
      <c r="F18" s="907">
        <f t="shared" si="2"/>
        <v>0</v>
      </c>
      <c r="G18" s="906">
        <f t="shared" si="3"/>
        <v>0</v>
      </c>
      <c r="H18" s="907">
        <f t="shared" si="4"/>
        <v>0</v>
      </c>
      <c r="I18" s="906">
        <f t="shared" si="5"/>
        <v>0</v>
      </c>
      <c r="J18" s="907">
        <f t="shared" si="6"/>
        <v>0</v>
      </c>
      <c r="K18" s="432">
        <f t="shared" si="8"/>
        <v>0</v>
      </c>
      <c r="L18" s="433">
        <f t="shared" si="9"/>
        <v>0</v>
      </c>
      <c r="M18" s="903">
        <f t="shared" si="10"/>
        <v>0</v>
      </c>
      <c r="N18" s="1144" t="s">
        <v>290</v>
      </c>
      <c r="AA18" s="332"/>
      <c r="AB18" s="333"/>
      <c r="AC18" s="331"/>
      <c r="AD18" s="256"/>
      <c r="AE18" s="331"/>
      <c r="AF18" s="256"/>
      <c r="AG18" s="331"/>
      <c r="AH18" s="256"/>
      <c r="AI18" s="432">
        <f t="shared" si="11"/>
        <v>0</v>
      </c>
      <c r="AJ18" s="433">
        <f t="shared" si="12"/>
        <v>0</v>
      </c>
      <c r="AK18" s="903">
        <f t="shared" si="13"/>
        <v>0</v>
      </c>
    </row>
    <row r="19" spans="1:37" ht="12.75" customHeight="1">
      <c r="A19" s="158" t="s">
        <v>475</v>
      </c>
      <c r="B19" s="366" t="s">
        <v>476</v>
      </c>
      <c r="C19" s="904">
        <f t="shared" si="7"/>
        <v>0</v>
      </c>
      <c r="D19" s="908">
        <f t="shared" si="0"/>
        <v>0</v>
      </c>
      <c r="E19" s="906">
        <f t="shared" si="1"/>
        <v>0</v>
      </c>
      <c r="F19" s="907">
        <f t="shared" si="2"/>
        <v>0</v>
      </c>
      <c r="G19" s="906">
        <f t="shared" si="3"/>
        <v>0</v>
      </c>
      <c r="H19" s="907">
        <f t="shared" si="4"/>
        <v>0</v>
      </c>
      <c r="I19" s="906">
        <f t="shared" si="5"/>
        <v>0</v>
      </c>
      <c r="J19" s="909">
        <f t="shared" si="6"/>
        <v>0</v>
      </c>
      <c r="K19" s="432">
        <f t="shared" si="8"/>
        <v>0</v>
      </c>
      <c r="L19" s="433">
        <f t="shared" si="9"/>
        <v>0</v>
      </c>
      <c r="M19" s="903">
        <f t="shared" si="10"/>
        <v>0</v>
      </c>
      <c r="N19" s="1144" t="s">
        <v>290</v>
      </c>
      <c r="AA19" s="332"/>
      <c r="AB19" s="334"/>
      <c r="AC19" s="331"/>
      <c r="AD19" s="256"/>
      <c r="AE19" s="331"/>
      <c r="AF19" s="256"/>
      <c r="AG19" s="331"/>
      <c r="AH19" s="260"/>
      <c r="AI19" s="432">
        <f t="shared" si="11"/>
        <v>0</v>
      </c>
      <c r="AJ19" s="433">
        <f t="shared" si="12"/>
        <v>0</v>
      </c>
      <c r="AK19" s="903">
        <f t="shared" si="13"/>
        <v>0</v>
      </c>
    </row>
    <row r="20" spans="1:37" ht="12.75" customHeight="1">
      <c r="A20" s="158" t="s">
        <v>477</v>
      </c>
      <c r="B20" s="366" t="s">
        <v>478</v>
      </c>
      <c r="C20" s="904">
        <f t="shared" si="7"/>
        <v>0</v>
      </c>
      <c r="D20" s="905">
        <f t="shared" si="0"/>
        <v>0</v>
      </c>
      <c r="E20" s="906">
        <f t="shared" si="1"/>
        <v>0</v>
      </c>
      <c r="F20" s="907">
        <f t="shared" si="2"/>
        <v>0</v>
      </c>
      <c r="G20" s="906">
        <f t="shared" si="3"/>
        <v>0</v>
      </c>
      <c r="H20" s="907">
        <f t="shared" si="4"/>
        <v>0</v>
      </c>
      <c r="I20" s="906">
        <f t="shared" si="5"/>
        <v>0</v>
      </c>
      <c r="J20" s="907">
        <f t="shared" si="6"/>
        <v>0</v>
      </c>
      <c r="K20" s="432">
        <f t="shared" si="8"/>
        <v>0</v>
      </c>
      <c r="L20" s="433">
        <f t="shared" si="9"/>
        <v>0</v>
      </c>
      <c r="M20" s="903">
        <f t="shared" si="10"/>
        <v>0</v>
      </c>
      <c r="N20" s="1144" t="s">
        <v>290</v>
      </c>
      <c r="AA20" s="332"/>
      <c r="AB20" s="333"/>
      <c r="AC20" s="331"/>
      <c r="AD20" s="256"/>
      <c r="AE20" s="331"/>
      <c r="AF20" s="256"/>
      <c r="AG20" s="331"/>
      <c r="AH20" s="256"/>
      <c r="AI20" s="432">
        <f t="shared" si="11"/>
        <v>0</v>
      </c>
      <c r="AJ20" s="433">
        <f t="shared" si="12"/>
        <v>0</v>
      </c>
      <c r="AK20" s="903">
        <f t="shared" si="13"/>
        <v>0</v>
      </c>
    </row>
    <row r="21" spans="1:37" ht="12.75" customHeight="1">
      <c r="A21" s="158" t="s">
        <v>479</v>
      </c>
      <c r="B21" s="367" t="s">
        <v>480</v>
      </c>
      <c r="C21" s="904">
        <f t="shared" si="7"/>
        <v>0</v>
      </c>
      <c r="D21" s="905">
        <f t="shared" si="0"/>
        <v>0</v>
      </c>
      <c r="E21" s="906">
        <f t="shared" si="1"/>
        <v>0</v>
      </c>
      <c r="F21" s="907">
        <f t="shared" si="2"/>
        <v>0</v>
      </c>
      <c r="G21" s="906">
        <f t="shared" si="3"/>
        <v>0</v>
      </c>
      <c r="H21" s="907">
        <f t="shared" si="4"/>
        <v>0</v>
      </c>
      <c r="I21" s="906">
        <f t="shared" si="5"/>
        <v>0</v>
      </c>
      <c r="J21" s="907">
        <f t="shared" si="6"/>
        <v>0</v>
      </c>
      <c r="K21" s="432">
        <f t="shared" si="8"/>
        <v>0</v>
      </c>
      <c r="L21" s="433">
        <f t="shared" si="9"/>
        <v>0</v>
      </c>
      <c r="M21" s="903">
        <f t="shared" si="10"/>
        <v>0</v>
      </c>
      <c r="N21" s="1144" t="s">
        <v>290</v>
      </c>
      <c r="AA21" s="332"/>
      <c r="AB21" s="333"/>
      <c r="AC21" s="331"/>
      <c r="AD21" s="256"/>
      <c r="AE21" s="331"/>
      <c r="AF21" s="256"/>
      <c r="AG21" s="331"/>
      <c r="AH21" s="256"/>
      <c r="AI21" s="432">
        <f t="shared" si="11"/>
        <v>0</v>
      </c>
      <c r="AJ21" s="433">
        <f t="shared" si="12"/>
        <v>0</v>
      </c>
      <c r="AK21" s="903">
        <f t="shared" si="13"/>
        <v>0</v>
      </c>
    </row>
    <row r="22" spans="1:37" ht="12.75" customHeight="1" thickBot="1">
      <c r="A22" s="158" t="s">
        <v>481</v>
      </c>
      <c r="B22" s="367" t="s">
        <v>482</v>
      </c>
      <c r="C22" s="904">
        <f t="shared" si="7"/>
        <v>0</v>
      </c>
      <c r="D22" s="905">
        <f t="shared" si="0"/>
        <v>0</v>
      </c>
      <c r="E22" s="906">
        <f t="shared" si="1"/>
        <v>0</v>
      </c>
      <c r="F22" s="907">
        <f t="shared" si="2"/>
        <v>0</v>
      </c>
      <c r="G22" s="906">
        <f t="shared" si="3"/>
        <v>0</v>
      </c>
      <c r="H22" s="907">
        <f t="shared" si="4"/>
        <v>0</v>
      </c>
      <c r="I22" s="906">
        <f t="shared" si="5"/>
        <v>0</v>
      </c>
      <c r="J22" s="907">
        <f t="shared" si="6"/>
        <v>0</v>
      </c>
      <c r="K22" s="432">
        <f t="shared" si="8"/>
        <v>0</v>
      </c>
      <c r="L22" s="433">
        <f t="shared" si="9"/>
        <v>0</v>
      </c>
      <c r="M22" s="903">
        <f t="shared" si="10"/>
        <v>0</v>
      </c>
      <c r="N22" s="1144" t="s">
        <v>769</v>
      </c>
      <c r="AA22" s="332"/>
      <c r="AB22" s="333"/>
      <c r="AC22" s="331"/>
      <c r="AD22" s="256"/>
      <c r="AE22" s="331"/>
      <c r="AF22" s="256"/>
      <c r="AG22" s="331"/>
      <c r="AH22" s="256"/>
      <c r="AI22" s="432">
        <f t="shared" si="11"/>
        <v>0</v>
      </c>
      <c r="AJ22" s="433">
        <f t="shared" si="12"/>
        <v>0</v>
      </c>
      <c r="AK22" s="903">
        <f t="shared" si="13"/>
        <v>0</v>
      </c>
    </row>
    <row r="23" spans="1:36" ht="15.75" customHeight="1" thickBot="1" thickTop="1">
      <c r="A23" s="303" t="s">
        <v>77</v>
      </c>
      <c r="B23" s="16"/>
      <c r="C23" s="434">
        <f aca="true" t="shared" si="14" ref="C23:L23">SUM(C6:C22)</f>
        <v>0</v>
      </c>
      <c r="D23" s="435">
        <f t="shared" si="14"/>
        <v>0</v>
      </c>
      <c r="E23" s="434">
        <f t="shared" si="14"/>
        <v>0</v>
      </c>
      <c r="F23" s="435">
        <f t="shared" si="14"/>
        <v>0</v>
      </c>
      <c r="G23" s="434">
        <f t="shared" si="14"/>
        <v>0</v>
      </c>
      <c r="H23" s="435">
        <f t="shared" si="14"/>
        <v>0</v>
      </c>
      <c r="I23" s="434">
        <f t="shared" si="14"/>
        <v>0</v>
      </c>
      <c r="J23" s="435">
        <f t="shared" si="14"/>
        <v>0</v>
      </c>
      <c r="K23" s="434">
        <f t="shared" si="14"/>
        <v>0</v>
      </c>
      <c r="L23" s="436">
        <f t="shared" si="14"/>
        <v>0</v>
      </c>
      <c r="AA23" s="434">
        <f aca="true" t="shared" si="15" ref="AA23:AJ23">SUM(AA6:AA22)</f>
        <v>0</v>
      </c>
      <c r="AB23" s="435">
        <f t="shared" si="15"/>
        <v>0</v>
      </c>
      <c r="AC23" s="434">
        <f t="shared" si="15"/>
        <v>0</v>
      </c>
      <c r="AD23" s="435">
        <f t="shared" si="15"/>
        <v>0</v>
      </c>
      <c r="AE23" s="434">
        <f t="shared" si="15"/>
        <v>0</v>
      </c>
      <c r="AF23" s="435">
        <f t="shared" si="15"/>
        <v>0</v>
      </c>
      <c r="AG23" s="434">
        <f t="shared" si="15"/>
        <v>0</v>
      </c>
      <c r="AH23" s="435">
        <f t="shared" si="15"/>
        <v>0</v>
      </c>
      <c r="AI23" s="434">
        <f t="shared" si="15"/>
        <v>0</v>
      </c>
      <c r="AJ23" s="436">
        <f t="shared" si="15"/>
        <v>0</v>
      </c>
    </row>
    <row r="24" ht="18.75" customHeight="1">
      <c r="A24" s="5" t="s">
        <v>184</v>
      </c>
    </row>
    <row r="25" ht="9.75">
      <c r="A25" s="823" t="str">
        <f>"(*) inserire i dati comunicati nella tab.1 (colonna presenti al 31/12/"&amp;L1-1&amp;") della rilevazione dell'anno precedente"</f>
        <v>(*) inserire i dati comunicati nella tab.1 (colonna presenti al 31/12/2017) della rilevazione dell'anno precedente</v>
      </c>
    </row>
    <row r="26" ht="9.75">
      <c r="A26" s="5" t="s">
        <v>156</v>
      </c>
    </row>
    <row r="27" spans="4:28" ht="12.75">
      <c r="D27" s="824"/>
      <c r="AB27" s="824"/>
    </row>
  </sheetData>
  <sheetProtection password="EA98" sheet="1" formatColumns="0" selectLockedCells="1"/>
  <mergeCells count="4">
    <mergeCell ref="C3:L3"/>
    <mergeCell ref="G2:L2"/>
    <mergeCell ref="AE2:AJ2"/>
    <mergeCell ref="AA3:AJ3"/>
  </mergeCells>
  <conditionalFormatting sqref="AA6:AJ22 A6:L22">
    <cfRule type="expression" priority="2" dxfId="3" stopIfTrue="1">
      <formula>$M6&gt;0</formula>
    </cfRule>
  </conditionalFormatting>
  <printOptions horizontalCentered="1" verticalCentered="1"/>
  <pageMargins left="0" right="0" top="0.17" bottom="0.16" header="0.18" footer="0.2"/>
  <pageSetup horizontalDpi="300" verticalDpi="300" orientation="landscape" paperSize="9" scale="75" r:id="rId2"/>
  <drawing r:id="rId1"/>
</worksheet>
</file>

<file path=xl/worksheets/sheet30.xml><?xml version="1.0" encoding="utf-8"?>
<worksheet xmlns="http://schemas.openxmlformats.org/spreadsheetml/2006/main" xmlns:r="http://schemas.openxmlformats.org/officeDocument/2006/relationships">
  <sheetPr codeName="Foglio27"/>
  <dimension ref="A1:M22"/>
  <sheetViews>
    <sheetView showGridLines="0" zoomScalePageLayoutView="0" workbookViewId="0" topLeftCell="A1">
      <pane ySplit="5" topLeftCell="A6" activePane="bottomLeft" state="frozen"/>
      <selection pane="topLeft" activeCell="A2" sqref="A2"/>
      <selection pane="bottomLeft" activeCell="A5" sqref="A5"/>
    </sheetView>
  </sheetViews>
  <sheetFormatPr defaultColWidth="9.33203125" defaultRowHeight="10.5"/>
  <cols>
    <col min="1" max="1" width="38.83203125" style="5" customWidth="1"/>
    <col min="2" max="2" width="11.33203125" style="7" customWidth="1"/>
    <col min="3" max="3" width="13.16015625" style="7" customWidth="1"/>
    <col min="4" max="4" width="17.83203125" style="7" customWidth="1"/>
    <col min="5" max="6" width="15.83203125" style="7" customWidth="1"/>
    <col min="7" max="8" width="15.83203125" style="112" customWidth="1"/>
    <col min="9" max="9" width="18.33203125" style="112" customWidth="1"/>
    <col min="10" max="10" width="9.33203125" style="112" customWidth="1"/>
  </cols>
  <sheetData>
    <row r="1" spans="1:13" s="5" customFormat="1" ht="43.5" customHeight="1">
      <c r="A1" s="1349" t="str">
        <f>'t1'!A1</f>
        <v>CNEL - anno 2018</v>
      </c>
      <c r="B1" s="1349"/>
      <c r="C1" s="1349"/>
      <c r="D1" s="1349"/>
      <c r="E1" s="1349"/>
      <c r="F1" s="1349"/>
      <c r="G1" s="1349"/>
      <c r="H1" s="1349"/>
      <c r="I1" s="318"/>
      <c r="K1" s="3"/>
      <c r="M1"/>
    </row>
    <row r="2" spans="4:13" s="5" customFormat="1" ht="12.75" customHeight="1">
      <c r="D2" s="1439"/>
      <c r="E2" s="1439"/>
      <c r="F2" s="1439"/>
      <c r="G2" s="1439"/>
      <c r="H2" s="1439"/>
      <c r="I2" s="1439"/>
      <c r="J2" s="322"/>
      <c r="K2" s="3"/>
      <c r="M2"/>
    </row>
    <row r="3" spans="1:6" s="5" customFormat="1" ht="21" customHeight="1">
      <c r="A3" s="200" t="s">
        <v>264</v>
      </c>
      <c r="B3" s="7"/>
      <c r="F3" s="7"/>
    </row>
    <row r="4" spans="1:9" ht="51">
      <c r="A4" s="186" t="s">
        <v>238</v>
      </c>
      <c r="B4" s="188" t="s">
        <v>200</v>
      </c>
      <c r="C4" s="187" t="s">
        <v>239</v>
      </c>
      <c r="D4" s="187" t="s">
        <v>243</v>
      </c>
      <c r="E4" s="187" t="s">
        <v>244</v>
      </c>
      <c r="F4" s="187" t="s">
        <v>245</v>
      </c>
      <c r="G4" s="187" t="s">
        <v>199</v>
      </c>
      <c r="H4" s="187" t="s">
        <v>246</v>
      </c>
      <c r="I4" s="187" t="s">
        <v>402</v>
      </c>
    </row>
    <row r="5" spans="1:10" s="204" customFormat="1" ht="9.75">
      <c r="A5" s="185"/>
      <c r="B5" s="198"/>
      <c r="C5" s="202" t="s">
        <v>202</v>
      </c>
      <c r="D5" s="202" t="s">
        <v>203</v>
      </c>
      <c r="E5" s="202" t="s">
        <v>240</v>
      </c>
      <c r="F5" s="202" t="s">
        <v>205</v>
      </c>
      <c r="G5" s="202" t="s">
        <v>241</v>
      </c>
      <c r="H5" s="202" t="s">
        <v>242</v>
      </c>
      <c r="I5" s="202" t="s">
        <v>403</v>
      </c>
      <c r="J5" s="203"/>
    </row>
    <row r="6" spans="1:9" ht="12.75">
      <c r="A6" s="141" t="str">
        <f>'t1'!A6</f>
        <v>DIRIGENTE I FASCIA</v>
      </c>
      <c r="B6" s="324" t="str">
        <f>'t1'!B6</f>
        <v>0D0077</v>
      </c>
      <c r="C6" s="348">
        <f>'t12'!C6</f>
        <v>0</v>
      </c>
      <c r="D6" s="349">
        <f>'t12'!D6</f>
        <v>0</v>
      </c>
      <c r="E6" s="350" t="str">
        <f>IF(C6=0," ",D6/C6*12)</f>
        <v> </v>
      </c>
      <c r="F6" s="370">
        <v>51136.05</v>
      </c>
      <c r="G6" s="350" t="str">
        <f aca="true" t="shared" si="0" ref="G6:G22">IF(E6=" "," ",E6-F6)</f>
        <v> </v>
      </c>
      <c r="H6" s="351" t="str">
        <f aca="true" t="shared" si="1" ref="H6:H22">IF(E6=" "," ",IF(F6=0," ",G6/F6))</f>
        <v> </v>
      </c>
      <c r="I6" s="329" t="str">
        <f>IF(E6=" "," ",IF(F6=0," ",IF(ABS(H6)&gt;0.02,"ERRORE","OK")))</f>
        <v> </v>
      </c>
    </row>
    <row r="7" spans="1:9" ht="12.75">
      <c r="A7" s="141" t="str">
        <f>'t1'!A7</f>
        <v>DIRIGENTE I FASCIA A TEMPO DETERM.</v>
      </c>
      <c r="B7" s="324" t="str">
        <f>'t1'!B7</f>
        <v>0D0078</v>
      </c>
      <c r="C7" s="348">
        <f>'t12'!C7</f>
        <v>0</v>
      </c>
      <c r="D7" s="349">
        <f>'t12'!D7</f>
        <v>0</v>
      </c>
      <c r="E7" s="350" t="str">
        <f aca="true" t="shared" si="2" ref="E7:E22">IF(C7=0," ",D7/C7*12)</f>
        <v> </v>
      </c>
      <c r="F7" s="370">
        <v>51136.05</v>
      </c>
      <c r="G7" s="350" t="str">
        <f t="shared" si="0"/>
        <v> </v>
      </c>
      <c r="H7" s="351" t="str">
        <f t="shared" si="1"/>
        <v> </v>
      </c>
      <c r="I7" s="329" t="str">
        <f aca="true" t="shared" si="3" ref="I7:I22">IF(E7=" "," ",IF(F7=0," ",IF(ABS(H7)&gt;0.02,"ERRORE","OK")))</f>
        <v> </v>
      </c>
    </row>
    <row r="8" spans="1:9" ht="12.75">
      <c r="A8" s="141" t="str">
        <f>'t1'!A8</f>
        <v>DIRIGENTE II FASCIA</v>
      </c>
      <c r="B8" s="324" t="str">
        <f>'t1'!B8</f>
        <v>0D0079</v>
      </c>
      <c r="C8" s="348">
        <f>'t12'!C8</f>
        <v>0</v>
      </c>
      <c r="D8" s="349">
        <f>'t12'!D8</f>
        <v>0</v>
      </c>
      <c r="E8" s="350" t="str">
        <f t="shared" si="2"/>
        <v> </v>
      </c>
      <c r="F8" s="370">
        <v>39979.29</v>
      </c>
      <c r="G8" s="350" t="str">
        <f t="shared" si="0"/>
        <v> </v>
      </c>
      <c r="H8" s="351" t="str">
        <f t="shared" si="1"/>
        <v> </v>
      </c>
      <c r="I8" s="329" t="str">
        <f t="shared" si="3"/>
        <v> </v>
      </c>
    </row>
    <row r="9" spans="1:9" ht="12.75">
      <c r="A9" s="141" t="str">
        <f>'t1'!A9</f>
        <v>DIRIGENTE II FASCIA A TEMPO DETERM.</v>
      </c>
      <c r="B9" s="324" t="str">
        <f>'t1'!B9</f>
        <v>0D0080</v>
      </c>
      <c r="C9" s="348">
        <f>'t12'!C9</f>
        <v>0</v>
      </c>
      <c r="D9" s="349">
        <f>'t12'!D9</f>
        <v>0</v>
      </c>
      <c r="E9" s="350" t="str">
        <f t="shared" si="2"/>
        <v> </v>
      </c>
      <c r="F9" s="370">
        <v>39979.29</v>
      </c>
      <c r="G9" s="350" t="str">
        <f t="shared" si="0"/>
        <v> </v>
      </c>
      <c r="H9" s="351" t="str">
        <f t="shared" si="1"/>
        <v> </v>
      </c>
      <c r="I9" s="329" t="str">
        <f t="shared" si="3"/>
        <v> </v>
      </c>
    </row>
    <row r="10" spans="1:9" ht="12.75">
      <c r="A10" s="141" t="str">
        <f>'t1'!A10</f>
        <v>POSIZIONE ECONOMICA C5</v>
      </c>
      <c r="B10" s="324" t="str">
        <f>'t1'!B10</f>
        <v>046000</v>
      </c>
      <c r="C10" s="348">
        <f>'t12'!C10</f>
        <v>0</v>
      </c>
      <c r="D10" s="349">
        <f>'t12'!D10</f>
        <v>0</v>
      </c>
      <c r="E10" s="350" t="str">
        <f t="shared" si="2"/>
        <v> </v>
      </c>
      <c r="F10" s="370">
        <v>30249</v>
      </c>
      <c r="G10" s="350" t="str">
        <f t="shared" si="0"/>
        <v> </v>
      </c>
      <c r="H10" s="351" t="str">
        <f t="shared" si="1"/>
        <v> </v>
      </c>
      <c r="I10" s="329" t="str">
        <f t="shared" si="3"/>
        <v> </v>
      </c>
    </row>
    <row r="11" spans="1:9" ht="12.75">
      <c r="A11" s="141" t="str">
        <f>'t1'!A11</f>
        <v>POSIZIONE ECONOMICA C4</v>
      </c>
      <c r="B11" s="324" t="str">
        <f>'t1'!B11</f>
        <v>045000</v>
      </c>
      <c r="C11" s="348">
        <f>'t12'!C11</f>
        <v>0</v>
      </c>
      <c r="D11" s="349">
        <f>'t12'!D11</f>
        <v>0</v>
      </c>
      <c r="E11" s="350" t="str">
        <f t="shared" si="2"/>
        <v> </v>
      </c>
      <c r="F11" s="370">
        <v>28672.11</v>
      </c>
      <c r="G11" s="350" t="str">
        <f t="shared" si="0"/>
        <v> </v>
      </c>
      <c r="H11" s="351" t="str">
        <f t="shared" si="1"/>
        <v> </v>
      </c>
      <c r="I11" s="329" t="str">
        <f t="shared" si="3"/>
        <v> </v>
      </c>
    </row>
    <row r="12" spans="1:9" ht="12.75">
      <c r="A12" s="141" t="str">
        <f>'t1'!A12</f>
        <v>POSIZIONE ECONOMICA C3</v>
      </c>
      <c r="B12" s="324" t="str">
        <f>'t1'!B12</f>
        <v>043000</v>
      </c>
      <c r="C12" s="348">
        <f>'t12'!C12</f>
        <v>0</v>
      </c>
      <c r="D12" s="349">
        <f>'t12'!D12</f>
        <v>0</v>
      </c>
      <c r="E12" s="350" t="str">
        <f t="shared" si="2"/>
        <v> </v>
      </c>
      <c r="F12" s="370">
        <v>26730.84</v>
      </c>
      <c r="G12" s="350" t="str">
        <f t="shared" si="0"/>
        <v> </v>
      </c>
      <c r="H12" s="351" t="str">
        <f t="shared" si="1"/>
        <v> </v>
      </c>
      <c r="I12" s="329" t="str">
        <f t="shared" si="3"/>
        <v> </v>
      </c>
    </row>
    <row r="13" spans="1:9" ht="12.75">
      <c r="A13" s="141" t="str">
        <f>'t1'!A13</f>
        <v>POSIZIONE ECONOMICA C2</v>
      </c>
      <c r="B13" s="324" t="str">
        <f>'t1'!B13</f>
        <v>042000</v>
      </c>
      <c r="C13" s="348">
        <f>'t12'!C13</f>
        <v>0</v>
      </c>
      <c r="D13" s="349">
        <f>'t12'!D13</f>
        <v>0</v>
      </c>
      <c r="E13" s="350" t="str">
        <f t="shared" si="2"/>
        <v> </v>
      </c>
      <c r="F13" s="370">
        <v>24353.27</v>
      </c>
      <c r="G13" s="350" t="str">
        <f t="shared" si="0"/>
        <v> </v>
      </c>
      <c r="H13" s="351" t="str">
        <f t="shared" si="1"/>
        <v> </v>
      </c>
      <c r="I13" s="329" t="str">
        <f t="shared" si="3"/>
        <v> </v>
      </c>
    </row>
    <row r="14" spans="1:9" ht="12.75">
      <c r="A14" s="141" t="str">
        <f>'t1'!A14</f>
        <v>POSIZIONE ECONOMICA C1</v>
      </c>
      <c r="B14" s="324" t="str">
        <f>'t1'!B14</f>
        <v>040000</v>
      </c>
      <c r="C14" s="348">
        <f>'t12'!C14</f>
        <v>0</v>
      </c>
      <c r="D14" s="349">
        <f>'t12'!D14</f>
        <v>0</v>
      </c>
      <c r="E14" s="350" t="str">
        <f t="shared" si="2"/>
        <v> </v>
      </c>
      <c r="F14" s="370">
        <v>22308.2</v>
      </c>
      <c r="G14" s="350" t="str">
        <f t="shared" si="0"/>
        <v> </v>
      </c>
      <c r="H14" s="351" t="str">
        <f t="shared" si="1"/>
        <v> </v>
      </c>
      <c r="I14" s="329" t="str">
        <f t="shared" si="3"/>
        <v> </v>
      </c>
    </row>
    <row r="15" spans="1:9" ht="12.75">
      <c r="A15" s="141" t="str">
        <f>'t1'!A15</f>
        <v>POSIZIONE ECONOMICA B4</v>
      </c>
      <c r="B15" s="324" t="str">
        <f>'t1'!B15</f>
        <v>036000</v>
      </c>
      <c r="C15" s="348">
        <f>'t12'!C15</f>
        <v>0</v>
      </c>
      <c r="D15" s="349">
        <f>'t12'!D15</f>
        <v>0</v>
      </c>
      <c r="E15" s="350" t="str">
        <f t="shared" si="2"/>
        <v> </v>
      </c>
      <c r="F15" s="370">
        <v>22309.4</v>
      </c>
      <c r="G15" s="350" t="str">
        <f t="shared" si="0"/>
        <v> </v>
      </c>
      <c r="H15" s="351" t="str">
        <f t="shared" si="1"/>
        <v> </v>
      </c>
      <c r="I15" s="329" t="str">
        <f t="shared" si="3"/>
        <v> </v>
      </c>
    </row>
    <row r="16" spans="1:9" ht="12.75">
      <c r="A16" s="141" t="str">
        <f>'t1'!A16</f>
        <v>POSIZIONE ECONOMICA B3</v>
      </c>
      <c r="B16" s="324" t="str">
        <f>'t1'!B16</f>
        <v>034000</v>
      </c>
      <c r="C16" s="348">
        <f>'t12'!C16</f>
        <v>0</v>
      </c>
      <c r="D16" s="349">
        <f>'t12'!D16</f>
        <v>0</v>
      </c>
      <c r="E16" s="350" t="str">
        <f t="shared" si="2"/>
        <v> </v>
      </c>
      <c r="F16" s="370">
        <v>21536.77</v>
      </c>
      <c r="G16" s="350" t="str">
        <f t="shared" si="0"/>
        <v> </v>
      </c>
      <c r="H16" s="351" t="str">
        <f t="shared" si="1"/>
        <v> </v>
      </c>
      <c r="I16" s="329" t="str">
        <f t="shared" si="3"/>
        <v> </v>
      </c>
    </row>
    <row r="17" spans="1:9" ht="12.75">
      <c r="A17" s="141" t="str">
        <f>'t1'!A17</f>
        <v>POSIZIONE ECONOMICA B2</v>
      </c>
      <c r="B17" s="324" t="str">
        <f>'t1'!B17</f>
        <v>032000</v>
      </c>
      <c r="C17" s="348">
        <f>'t12'!C17</f>
        <v>0</v>
      </c>
      <c r="D17" s="349">
        <f>'t12'!D17</f>
        <v>0</v>
      </c>
      <c r="E17" s="350" t="str">
        <f t="shared" si="2"/>
        <v> </v>
      </c>
      <c r="F17" s="370">
        <v>20367.6</v>
      </c>
      <c r="G17" s="350" t="str">
        <f t="shared" si="0"/>
        <v> </v>
      </c>
      <c r="H17" s="351" t="str">
        <f t="shared" si="1"/>
        <v> </v>
      </c>
      <c r="I17" s="329" t="str">
        <f t="shared" si="3"/>
        <v> </v>
      </c>
    </row>
    <row r="18" spans="1:9" ht="12.75">
      <c r="A18" s="141" t="str">
        <f>'t1'!A18</f>
        <v>POSIZIONE ECONOMICA B1</v>
      </c>
      <c r="B18" s="324" t="str">
        <f>'t1'!B18</f>
        <v>030000</v>
      </c>
      <c r="C18" s="348">
        <f>'t12'!C18</f>
        <v>0</v>
      </c>
      <c r="D18" s="349">
        <f>'t12'!D18</f>
        <v>0</v>
      </c>
      <c r="E18" s="350" t="str">
        <f t="shared" si="2"/>
        <v> </v>
      </c>
      <c r="F18" s="370">
        <v>19146.33</v>
      </c>
      <c r="G18" s="350" t="str">
        <f t="shared" si="0"/>
        <v> </v>
      </c>
      <c r="H18" s="351" t="str">
        <f t="shared" si="1"/>
        <v> </v>
      </c>
      <c r="I18" s="329" t="str">
        <f t="shared" si="3"/>
        <v> </v>
      </c>
    </row>
    <row r="19" spans="1:9" ht="12.75">
      <c r="A19" s="141" t="str">
        <f>'t1'!A19</f>
        <v>POSIZIONE ECONOMICA A3</v>
      </c>
      <c r="B19" s="324" t="str">
        <f>'t1'!B19</f>
        <v>027000</v>
      </c>
      <c r="C19" s="348">
        <f>'t12'!C19</f>
        <v>0</v>
      </c>
      <c r="D19" s="349">
        <f>'t12'!D19</f>
        <v>0</v>
      </c>
      <c r="E19" s="350" t="str">
        <f t="shared" si="2"/>
        <v> </v>
      </c>
      <c r="F19" s="370">
        <v>19118.73</v>
      </c>
      <c r="G19" s="350" t="str">
        <f t="shared" si="0"/>
        <v> </v>
      </c>
      <c r="H19" s="351" t="str">
        <f t="shared" si="1"/>
        <v> </v>
      </c>
      <c r="I19" s="329" t="str">
        <f t="shared" si="3"/>
        <v> </v>
      </c>
    </row>
    <row r="20" spans="1:9" ht="12.75">
      <c r="A20" s="141" t="str">
        <f>'t1'!A20</f>
        <v>POSIZIONE ECONOMICA A2</v>
      </c>
      <c r="B20" s="324" t="str">
        <f>'t1'!B20</f>
        <v>025000</v>
      </c>
      <c r="C20" s="348">
        <f>'t12'!C20</f>
        <v>0</v>
      </c>
      <c r="D20" s="349">
        <f>'t12'!D20</f>
        <v>0</v>
      </c>
      <c r="E20" s="350" t="str">
        <f t="shared" si="2"/>
        <v> </v>
      </c>
      <c r="F20" s="370">
        <v>18211.34</v>
      </c>
      <c r="G20" s="350" t="str">
        <f t="shared" si="0"/>
        <v> </v>
      </c>
      <c r="H20" s="351" t="str">
        <f t="shared" si="1"/>
        <v> </v>
      </c>
      <c r="I20" s="329" t="str">
        <f t="shared" si="3"/>
        <v> </v>
      </c>
    </row>
    <row r="21" spans="1:9" ht="12.75">
      <c r="A21" s="141" t="str">
        <f>'t1'!A21</f>
        <v>POSIZIONE ECONOMICA A1</v>
      </c>
      <c r="B21" s="324" t="str">
        <f>'t1'!B21</f>
        <v>023000</v>
      </c>
      <c r="C21" s="348">
        <f>'t12'!C21</f>
        <v>0</v>
      </c>
      <c r="D21" s="349">
        <f>'t12'!D21</f>
        <v>0</v>
      </c>
      <c r="E21" s="350" t="str">
        <f t="shared" si="2"/>
        <v> </v>
      </c>
      <c r="F21" s="370">
        <v>17270.57</v>
      </c>
      <c r="G21" s="350" t="str">
        <f t="shared" si="0"/>
        <v> </v>
      </c>
      <c r="H21" s="351" t="str">
        <f t="shared" si="1"/>
        <v> </v>
      </c>
      <c r="I21" s="329" t="str">
        <f t="shared" si="3"/>
        <v> </v>
      </c>
    </row>
    <row r="22" spans="1:9" ht="12.75">
      <c r="A22" s="141" t="str">
        <f>'t1'!A22</f>
        <v>CONTRATTISTI (a)</v>
      </c>
      <c r="B22" s="324" t="str">
        <f>'t1'!B22</f>
        <v>000061</v>
      </c>
      <c r="C22" s="348">
        <f>'t12'!C22</f>
        <v>0</v>
      </c>
      <c r="D22" s="349">
        <f>'t12'!D22</f>
        <v>0</v>
      </c>
      <c r="E22" s="350" t="str">
        <f t="shared" si="2"/>
        <v> </v>
      </c>
      <c r="F22" s="370"/>
      <c r="G22" s="350" t="str">
        <f t="shared" si="0"/>
        <v> </v>
      </c>
      <c r="H22" s="351" t="str">
        <f t="shared" si="1"/>
        <v> </v>
      </c>
      <c r="I22" s="329" t="str">
        <f t="shared" si="3"/>
        <v> </v>
      </c>
    </row>
  </sheetData>
  <sheetProtection password="EA98" sheet="1" formatColumns="0" selectLockedCells="1" selectUnlockedCells="1"/>
  <mergeCells count="2">
    <mergeCell ref="A1:H1"/>
    <mergeCell ref="D2:I2"/>
  </mergeCells>
  <printOptions horizontalCentered="1" verticalCentered="1"/>
  <pageMargins left="0.1968503937007874" right="0.1968503937007874" top="0.1968503937007874" bottom="0.15748031496062992" header="0.15748031496062992" footer="0.15748031496062992"/>
  <pageSetup orientation="landscape" paperSize="9" scale="90" r:id="rId1"/>
</worksheet>
</file>

<file path=xl/worksheets/sheet31.xml><?xml version="1.0" encoding="utf-8"?>
<worksheet xmlns="http://schemas.openxmlformats.org/spreadsheetml/2006/main" xmlns:r="http://schemas.openxmlformats.org/officeDocument/2006/relationships">
  <sheetPr codeName="Foglio40"/>
  <dimension ref="A1:M20"/>
  <sheetViews>
    <sheetView showGridLines="0" zoomScalePageLayoutView="0" workbookViewId="0" topLeftCell="A1">
      <selection activeCell="B2" sqref="B2"/>
    </sheetView>
  </sheetViews>
  <sheetFormatPr defaultColWidth="9.33203125" defaultRowHeight="10.5"/>
  <cols>
    <col min="1" max="1" width="78.83203125" style="5" customWidth="1"/>
    <col min="2" max="3" width="19.83203125" style="5" customWidth="1"/>
    <col min="4" max="4" width="26.83203125" style="5" customWidth="1"/>
    <col min="5" max="5" width="25.16015625" style="5" customWidth="1"/>
    <col min="6" max="16384" width="9.33203125" style="5" customWidth="1"/>
  </cols>
  <sheetData>
    <row r="1" spans="1:13" ht="33.75" customHeight="1">
      <c r="A1" s="1349" t="str">
        <f>'t1'!A1</f>
        <v>CNEL - anno 2018</v>
      </c>
      <c r="B1" s="1349"/>
      <c r="C1" s="1349"/>
      <c r="D1" s="1349"/>
      <c r="E1" s="753"/>
      <c r="F1" s="321"/>
      <c r="G1" s="321"/>
      <c r="H1" s="321"/>
      <c r="I1" s="321"/>
      <c r="K1" s="3"/>
      <c r="M1"/>
    </row>
    <row r="2" spans="1:13" ht="15.75" thickBot="1">
      <c r="A2" s="961" t="s">
        <v>661</v>
      </c>
      <c r="B2" s="962"/>
      <c r="C2" s="962"/>
      <c r="D2" s="962"/>
      <c r="E2" s="322"/>
      <c r="F2" s="322"/>
      <c r="G2" s="322"/>
      <c r="H2" s="322"/>
      <c r="I2" s="322"/>
      <c r="K2" s="3"/>
      <c r="M2"/>
    </row>
    <row r="3" spans="1:5" ht="33" customHeight="1" thickBot="1">
      <c r="A3" s="1456" t="s">
        <v>662</v>
      </c>
      <c r="B3" s="1457"/>
      <c r="C3" s="1457"/>
      <c r="D3" s="1458"/>
      <c r="E3" s="770"/>
    </row>
    <row r="4" spans="1:4" s="201" customFormat="1" ht="30.75" thickBot="1">
      <c r="A4" s="690" t="s">
        <v>574</v>
      </c>
      <c r="B4" s="691" t="s">
        <v>575</v>
      </c>
      <c r="C4" s="691" t="s">
        <v>576</v>
      </c>
      <c r="D4" s="692" t="s">
        <v>577</v>
      </c>
    </row>
    <row r="5" spans="1:4" ht="39" customHeight="1">
      <c r="A5" s="771" t="str">
        <f>SI_1!B85</f>
        <v>Non compilare</v>
      </c>
      <c r="B5" s="772">
        <f>SI_1!G85</f>
        <v>0</v>
      </c>
      <c r="C5" s="772">
        <f>'t1'!K23+'t1'!L23</f>
        <v>0</v>
      </c>
      <c r="D5" s="967" t="str">
        <f>IF(B5&lt;=C5,"OK","Dati incoerenti: controllare i valori")</f>
        <v>OK</v>
      </c>
    </row>
    <row r="6" spans="1:4" ht="39" customHeight="1">
      <c r="A6" s="773" t="str">
        <f>SI_1!B106</f>
        <v>Indicare il numero delle unita rilevate in tabella 1 tra i "presenti al 31.12" che risultavano titolari di permessi per legge n. 104/92.</v>
      </c>
      <c r="B6" s="774">
        <f>SI_1!G106</f>
        <v>0</v>
      </c>
      <c r="C6" s="774">
        <f>'t1'!K23+'t1'!L23</f>
        <v>0</v>
      </c>
      <c r="D6" s="968" t="str">
        <f>IF(B6&lt;=C6,"OK","Dati incoerenti: controllare i valori")</f>
        <v>OK</v>
      </c>
    </row>
    <row r="7" spans="1:4" ht="39" customHeight="1" thickBot="1">
      <c r="A7" s="775" t="str">
        <f>SI_1!B109</f>
        <v>Indicare il numero delle unita rilevate in tabella 1 tra i "presenti al 31.12" che risultavano titolari di permessi ai sensi dell'art. 42, c.5 D.lgs.151/2001.</v>
      </c>
      <c r="B7" s="776">
        <f>SI_1!G109</f>
        <v>0</v>
      </c>
      <c r="C7" s="776">
        <f>'t1'!K23+'t1'!L23</f>
        <v>0</v>
      </c>
      <c r="D7" s="969" t="str">
        <f>IF(B7&lt;=C7,"OK","Dati incoerenti: controllare i valori")</f>
        <v>OK</v>
      </c>
    </row>
    <row r="10" spans="1:13" ht="15.75" thickBot="1">
      <c r="A10" s="963" t="s">
        <v>663</v>
      </c>
      <c r="B10" s="962"/>
      <c r="C10" s="962"/>
      <c r="D10" s="962"/>
      <c r="E10" s="322"/>
      <c r="F10" s="322"/>
      <c r="G10" s="322"/>
      <c r="H10" s="322"/>
      <c r="I10" s="322"/>
      <c r="K10" s="3"/>
      <c r="M10"/>
    </row>
    <row r="11" spans="1:5" ht="32.25" customHeight="1" thickBot="1">
      <c r="A11" s="1456" t="s">
        <v>664</v>
      </c>
      <c r="B11" s="1457"/>
      <c r="C11" s="1457"/>
      <c r="D11" s="1458"/>
      <c r="E11" s="770"/>
    </row>
    <row r="12" spans="1:4" s="201" customFormat="1" ht="21" thickBot="1">
      <c r="A12" s="777" t="s">
        <v>574</v>
      </c>
      <c r="B12" s="778" t="s">
        <v>575</v>
      </c>
      <c r="C12" s="778" t="s">
        <v>578</v>
      </c>
      <c r="D12" s="779" t="s">
        <v>579</v>
      </c>
    </row>
    <row r="13" spans="1:4" ht="39" customHeight="1">
      <c r="A13" s="780" t="str">
        <f>SI_1!B106</f>
        <v>Indicare il numero delle unita rilevate in tabella 1 tra i "presenti al 31.12" che risultavano titolari di permessi per legge n. 104/92.</v>
      </c>
      <c r="B13" s="781">
        <f>SI_1!G106</f>
        <v>0</v>
      </c>
      <c r="C13" s="782">
        <f>'t11'!I25+'t11'!J25</f>
        <v>0</v>
      </c>
      <c r="D13" s="965" t="str">
        <f>(IF(AND(C13=0,B13&gt;0),"Mancano le assenze per questa causale",IF(AND(C13&gt;0,B13=0),"Dichiarare Unita nella domanda della Scheda Informativa 1","OK")))</f>
        <v>OK</v>
      </c>
    </row>
    <row r="14" spans="1:4" ht="39" customHeight="1" thickBot="1">
      <c r="A14" s="783" t="str">
        <f>SI_1!B109</f>
        <v>Indicare il numero delle unita rilevate in tabella 1 tra i "presenti al 31.12" che risultavano titolari di permessi ai sensi dell'art. 42, c.5 D.lgs.151/2001.</v>
      </c>
      <c r="B14" s="776">
        <f>SI_1!G109</f>
        <v>0</v>
      </c>
      <c r="C14" s="784">
        <f>'t11'!G25+'t11'!H25</f>
        <v>0</v>
      </c>
      <c r="D14" s="966" t="str">
        <f>(IF(AND(C14=0,B14&gt;0),"Mancano le assenze per questa causale",IF(AND(C14&gt;0,B14=0),"Dichiarare Unita nella domanda della Scheda Informativa 1","OK")))</f>
        <v>OK</v>
      </c>
    </row>
    <row r="17" spans="1:13" ht="12.75" customHeight="1" thickBot="1">
      <c r="A17" s="964" t="s">
        <v>665</v>
      </c>
      <c r="B17" s="962"/>
      <c r="C17" s="962"/>
      <c r="D17" s="962"/>
      <c r="E17" s="322"/>
      <c r="F17" s="322"/>
      <c r="G17" s="322"/>
      <c r="H17" s="322"/>
      <c r="I17" s="322"/>
      <c r="K17" s="3"/>
      <c r="M17"/>
    </row>
    <row r="18" spans="1:5" ht="30.75" customHeight="1" thickBot="1">
      <c r="A18" s="1456" t="s">
        <v>666</v>
      </c>
      <c r="B18" s="1457"/>
      <c r="C18" s="1457"/>
      <c r="D18" s="1458"/>
      <c r="E18" s="770"/>
    </row>
    <row r="19" spans="1:4" ht="21" thickBot="1">
      <c r="A19" s="777" t="s">
        <v>574</v>
      </c>
      <c r="B19" s="778" t="s">
        <v>647</v>
      </c>
      <c r="C19" s="778" t="s">
        <v>578</v>
      </c>
      <c r="D19" s="779" t="s">
        <v>579</v>
      </c>
    </row>
    <row r="20" spans="1:4" ht="37.5" customHeight="1" thickBot="1">
      <c r="A20" s="783" t="s">
        <v>567</v>
      </c>
      <c r="B20" s="781">
        <f>SI_1!G82</f>
        <v>0</v>
      </c>
      <c r="C20" s="782">
        <f>'t11'!E25+'t11'!F25</f>
        <v>0</v>
      </c>
      <c r="D20" s="965" t="str">
        <f>(IF(AND(C20=0,B20&gt;0),"Mancano le assenze per questa causale",IF(AND(C20&gt;0,B20=0),"Dichiarare Somme nella domanda della Scheda Informativa 1","OK")))</f>
        <v>OK</v>
      </c>
    </row>
  </sheetData>
  <sheetProtection password="EA98" sheet="1" formatColumns="0" selectLockedCells="1" selectUnlockedCells="1"/>
  <mergeCells count="4">
    <mergeCell ref="A1:D1"/>
    <mergeCell ref="A3:D3"/>
    <mergeCell ref="A11:D11"/>
    <mergeCell ref="A18:D18"/>
  </mergeCells>
  <conditionalFormatting sqref="D20 D13:D14 D5:D7">
    <cfRule type="notContainsText" priority="1" dxfId="15" operator="notContains" stopIfTrue="1" text="ok">
      <formula>ISERROR(SEARCH("ok",D5))</formula>
    </cfRule>
  </conditionalFormatting>
  <printOptions horizontalCentered="1" verticalCentered="1"/>
  <pageMargins left="0" right="0" top="0.1968503937007874" bottom="0.31496062992125984" header="0.5118110236220472" footer="0.5118110236220472"/>
  <pageSetup horizontalDpi="300" verticalDpi="300" orientation="landscape" paperSize="9" scale="90" r:id="rId2"/>
  <drawing r:id="rId1"/>
</worksheet>
</file>

<file path=xl/worksheets/sheet32.xml><?xml version="1.0" encoding="utf-8"?>
<worksheet xmlns="http://schemas.openxmlformats.org/spreadsheetml/2006/main" xmlns:r="http://schemas.openxmlformats.org/officeDocument/2006/relationships">
  <sheetPr codeName="Foglio7">
    <pageSetUpPr fitToPage="1"/>
  </sheetPr>
  <dimension ref="A1:N31"/>
  <sheetViews>
    <sheetView showGridLines="0" zoomScale="90" zoomScaleNormal="90" zoomScalePageLayoutView="0" workbookViewId="0" topLeftCell="A1">
      <pane ySplit="5" topLeftCell="A6" activePane="bottomLeft" state="frozen"/>
      <selection pane="topLeft" activeCell="A2" sqref="A2"/>
      <selection pane="bottomLeft" activeCell="B2" sqref="B2:G2"/>
    </sheetView>
  </sheetViews>
  <sheetFormatPr defaultColWidth="9.33203125" defaultRowHeight="10.5"/>
  <cols>
    <col min="1" max="1" width="71.33203125" style="425" customWidth="1"/>
    <col min="2" max="2" width="8" style="425" customWidth="1"/>
    <col min="3" max="3" width="14.16015625" style="425" customWidth="1"/>
    <col min="4" max="4" width="15.33203125" style="425" customWidth="1"/>
    <col min="5" max="5" width="25" style="425" bestFit="1" customWidth="1"/>
    <col min="6" max="6" width="17.33203125" style="425" customWidth="1"/>
    <col min="7" max="7" width="17.16015625" style="425" customWidth="1"/>
    <col min="8" max="14" width="9.33203125" style="425" customWidth="1"/>
  </cols>
  <sheetData>
    <row r="1" spans="1:13" s="5" customFormat="1" ht="26.25" customHeight="1">
      <c r="A1" s="1349" t="str">
        <f>'t1'!A1:J1</f>
        <v>CNEL - anno 2018</v>
      </c>
      <c r="B1" s="1349"/>
      <c r="C1" s="1349"/>
      <c r="D1" s="1349"/>
      <c r="E1" s="1349"/>
      <c r="F1" s="321"/>
      <c r="G1" s="318"/>
      <c r="H1" s="321"/>
      <c r="K1" s="3"/>
      <c r="M1" s="424"/>
    </row>
    <row r="2" spans="2:13" s="5" customFormat="1" ht="15" customHeight="1">
      <c r="B2" s="1439"/>
      <c r="C2" s="1439"/>
      <c r="D2" s="1439"/>
      <c r="E2" s="1439"/>
      <c r="F2" s="1439"/>
      <c r="G2" s="1439"/>
      <c r="J2" s="322"/>
      <c r="K2" s="3"/>
      <c r="M2" s="424"/>
    </row>
    <row r="3" spans="1:2" s="5" customFormat="1" ht="21" customHeight="1" thickBot="1">
      <c r="A3" s="325" t="s">
        <v>265</v>
      </c>
      <c r="B3" s="7"/>
    </row>
    <row r="4" spans="1:7" ht="20.25" customHeight="1" thickBot="1">
      <c r="A4" s="335" t="s">
        <v>266</v>
      </c>
      <c r="B4" s="1484">
        <f>'t12'!J23+'t13'!R23</f>
        <v>0</v>
      </c>
      <c r="C4" s="1485"/>
      <c r="D4" s="1485"/>
      <c r="E4" s="1485"/>
      <c r="F4" s="1485"/>
      <c r="G4" s="1486"/>
    </row>
    <row r="5" spans="1:14" ht="85.5" customHeight="1" thickBot="1">
      <c r="A5" s="224" t="s">
        <v>110</v>
      </c>
      <c r="B5" s="225" t="s">
        <v>251</v>
      </c>
      <c r="C5" s="225" t="s">
        <v>252</v>
      </c>
      <c r="D5" s="226" t="s">
        <v>253</v>
      </c>
      <c r="E5" s="1487" t="s">
        <v>249</v>
      </c>
      <c r="F5" s="1488"/>
      <c r="G5" s="1489"/>
      <c r="H5" s="424"/>
      <c r="I5" s="424"/>
      <c r="J5" s="424"/>
      <c r="K5" s="424"/>
      <c r="L5" s="424"/>
      <c r="M5" s="424"/>
      <c r="N5" s="424"/>
    </row>
    <row r="6" spans="1:14" ht="19.5" customHeight="1">
      <c r="A6" s="223" t="str">
        <f>'t14'!A4</f>
        <v>ASSEGNI PER IL NUCLEO FAMILIARE</v>
      </c>
      <c r="B6" s="330" t="str">
        <f>'t14'!B4</f>
        <v>L005</v>
      </c>
      <c r="C6" s="326">
        <f>'t14'!D4</f>
        <v>0</v>
      </c>
      <c r="D6" s="426" t="str">
        <f aca="true" t="shared" si="0" ref="D6:D12">IF($B$4=0," ",(IF(C6=0," ",C6/$B$4)))</f>
        <v> </v>
      </c>
      <c r="E6" s="1465" t="str">
        <f>IF($B$4=0,"TABELLE 12 -13 ASSENTI",(IF('t12'!$J$23=0,"TAB. 12 ASSENTE",(IF('t13'!R23=0,"TAB. 13 ASSENTE"," ")))))</f>
        <v>TABELLE 12 -13 ASSENTI</v>
      </c>
      <c r="F6" s="1466"/>
      <c r="G6" s="1467"/>
      <c r="H6" s="424"/>
      <c r="I6" s="424"/>
      <c r="J6" s="424"/>
      <c r="K6" s="424"/>
      <c r="L6" s="424"/>
      <c r="M6" s="424"/>
      <c r="N6" s="424"/>
    </row>
    <row r="7" spans="1:14" ht="19.5" customHeight="1">
      <c r="A7" s="223" t="str">
        <f>'t14'!A5</f>
        <v>GESTIONE MENSE </v>
      </c>
      <c r="B7" s="330" t="str">
        <f>'t14'!B5</f>
        <v>L010</v>
      </c>
      <c r="C7" s="327">
        <f>'t14'!D5</f>
        <v>0</v>
      </c>
      <c r="D7" s="427" t="str">
        <f t="shared" si="0"/>
        <v> </v>
      </c>
      <c r="E7" s="1459"/>
      <c r="F7" s="1460"/>
      <c r="G7" s="1461"/>
      <c r="H7" s="424"/>
      <c r="I7" s="424"/>
      <c r="J7" s="424"/>
      <c r="K7" s="424"/>
      <c r="L7" s="424"/>
      <c r="M7" s="424"/>
      <c r="N7" s="424"/>
    </row>
    <row r="8" spans="1:14" ht="19.5" customHeight="1">
      <c r="A8" s="223" t="str">
        <f>'t14'!A6</f>
        <v>EROGAZIONE BUONI PASTO</v>
      </c>
      <c r="B8" s="330" t="str">
        <f>'t14'!B6</f>
        <v>L011</v>
      </c>
      <c r="C8" s="327">
        <f>'t14'!D6</f>
        <v>0</v>
      </c>
      <c r="D8" s="427" t="str">
        <f t="shared" si="0"/>
        <v> </v>
      </c>
      <c r="E8" s="1459"/>
      <c r="F8" s="1460"/>
      <c r="G8" s="1461"/>
      <c r="H8" s="424"/>
      <c r="I8" s="424"/>
      <c r="J8" s="424"/>
      <c r="K8" s="424"/>
      <c r="L8" s="424"/>
      <c r="M8" s="424"/>
      <c r="N8" s="424"/>
    </row>
    <row r="9" spans="1:14" ht="19.5" customHeight="1">
      <c r="A9" s="223" t="str">
        <f>'t14'!A7</f>
        <v>FORMAZIONE DEL PERSONALE</v>
      </c>
      <c r="B9" s="330" t="str">
        <f>'t14'!B7</f>
        <v>L020</v>
      </c>
      <c r="C9" s="327">
        <f>'t14'!D7</f>
        <v>0</v>
      </c>
      <c r="D9" s="427" t="str">
        <f t="shared" si="0"/>
        <v> </v>
      </c>
      <c r="E9" s="1459"/>
      <c r="F9" s="1460"/>
      <c r="G9" s="1461"/>
      <c r="H9" s="424"/>
      <c r="I9" s="424"/>
      <c r="J9" s="424"/>
      <c r="K9" s="424"/>
      <c r="L9" s="424"/>
      <c r="M9" s="424"/>
      <c r="N9" s="424"/>
    </row>
    <row r="10" spans="1:14" ht="19.5" customHeight="1">
      <c r="A10" s="223" t="str">
        <f>'t14'!A8</f>
        <v>BENESSERE DEL PERSONALE</v>
      </c>
      <c r="B10" s="330" t="str">
        <f>'t14'!B8</f>
        <v>L090</v>
      </c>
      <c r="C10" s="327">
        <f>'t14'!D8</f>
        <v>0</v>
      </c>
      <c r="D10" s="427" t="str">
        <f t="shared" si="0"/>
        <v> </v>
      </c>
      <c r="E10" s="1459"/>
      <c r="F10" s="1460"/>
      <c r="G10" s="1461"/>
      <c r="H10" s="424"/>
      <c r="I10" s="424"/>
      <c r="J10" s="424"/>
      <c r="K10" s="424"/>
      <c r="L10" s="424"/>
      <c r="M10" s="424"/>
      <c r="N10" s="424"/>
    </row>
    <row r="11" spans="1:14" ht="19.5" customHeight="1" thickBot="1">
      <c r="A11" s="223" t="str">
        <f>'t14'!A9</f>
        <v>EQUO INDENNIZZO AL PERSONALE</v>
      </c>
      <c r="B11" s="330" t="str">
        <f>'t14'!B9</f>
        <v>L100</v>
      </c>
      <c r="C11" s="327">
        <f>'t14'!D9</f>
        <v>0</v>
      </c>
      <c r="D11" s="428" t="str">
        <f t="shared" si="0"/>
        <v> </v>
      </c>
      <c r="E11" s="1462"/>
      <c r="F11" s="1463"/>
      <c r="G11" s="1464"/>
      <c r="H11" s="424"/>
      <c r="I11" s="424"/>
      <c r="J11" s="424"/>
      <c r="K11" s="424"/>
      <c r="L11" s="424"/>
      <c r="M11" s="424"/>
      <c r="N11" s="424"/>
    </row>
    <row r="12" spans="1:14" ht="30.75" customHeight="1" thickBot="1">
      <c r="A12" s="223" t="str">
        <f>'t14'!A10</f>
        <v>SOMME CORRISPOSTE AD AGENZIA DI SOMMINISTRAZIONE(INTERINALI)</v>
      </c>
      <c r="B12" s="330" t="str">
        <f>'t14'!B10</f>
        <v>L105</v>
      </c>
      <c r="C12" s="327">
        <f>'t14'!D10</f>
        <v>0</v>
      </c>
      <c r="D12" s="428" t="str">
        <f t="shared" si="0"/>
        <v> </v>
      </c>
      <c r="E12" s="1468" t="str">
        <f>(IF(AND(C12=0,C24&gt;0),"P062 VALORIZZATA; INSERIRE SOMME SPETTANTI ALL'AGENZIA (L105)",IF(AND(C12&gt;0,C24&gt;0,C12&gt;(C24/100*30)),"ATTENZIONE: la voce L105 supera il 30% della voce P062. Il salvataggio produrrà l'INCONGRUENZA 1 che dovrà essere giustificata"," ")))</f>
        <v> </v>
      </c>
      <c r="F12" s="1469"/>
      <c r="G12" s="1470"/>
      <c r="H12" s="424"/>
      <c r="I12" s="424"/>
      <c r="J12" s="424"/>
      <c r="K12" s="424"/>
      <c r="L12" s="424"/>
      <c r="M12" s="424"/>
      <c r="N12" s="424"/>
    </row>
    <row r="13" spans="1:14" ht="19.5" customHeight="1" thickBot="1">
      <c r="A13" s="223" t="str">
        <f>'t14'!A11</f>
        <v>COPERTURE ASSICURATIVE</v>
      </c>
      <c r="B13" s="330" t="str">
        <f>'t14'!B11</f>
        <v>L107</v>
      </c>
      <c r="C13" s="327">
        <f>'t14'!D11</f>
        <v>0</v>
      </c>
      <c r="D13" s="426" t="str">
        <f aca="true" t="shared" si="1" ref="D13:D21">IF($B$4=0," ",(IF(C13=0," ",C13/$B$4)))</f>
        <v> </v>
      </c>
      <c r="E13" s="1471" t="str">
        <f>IF($B$4=0,"TABELLE 12 -13 ASSENTI",(IF('t12'!$J$23=0,"TAB. 12 ASSENTE",(IF('t13'!$R$23=0,"TAB. 13 ASSENTE"," ")))))</f>
        <v>TABELLE 12 -13 ASSENTI</v>
      </c>
      <c r="F13" s="1472" t="s">
        <v>304</v>
      </c>
      <c r="G13" s="1473" t="s">
        <v>304</v>
      </c>
      <c r="H13" s="424"/>
      <c r="I13" s="424"/>
      <c r="J13" s="424"/>
      <c r="K13" s="424"/>
      <c r="L13" s="424"/>
      <c r="M13" s="424"/>
      <c r="N13" s="424"/>
    </row>
    <row r="14" spans="1:14" ht="41.25" customHeight="1" thickBot="1">
      <c r="A14" s="223" t="str">
        <f>'t14'!A12</f>
        <v>CONTRATTI DI COLLABORAZIONE COORDINATA E CONTINUATIVA</v>
      </c>
      <c r="B14" s="330" t="str">
        <f>'t14'!B12</f>
        <v>L108</v>
      </c>
      <c r="C14" s="327">
        <f>'t14'!D12</f>
        <v>0</v>
      </c>
      <c r="D14" s="427" t="str">
        <f t="shared" si="1"/>
        <v> </v>
      </c>
      <c r="E14" s="1468" t="str">
        <f>IF(SI_1!G56=0,IF('t14'!D12=0," ","MANCA IL NUMERO DEI CONTRATTI NELLA SI_1"),IF('t14'!D12=0,"VERIFICARE SE INSERIRE LE SPESE"," "))</f>
        <v> </v>
      </c>
      <c r="F14" s="1472"/>
      <c r="G14" s="352" t="str">
        <f>IF(AND(C14&gt;0,SI_1!G56&gt;0),"VALORE MEDIO UNITARIO DI SPESA =  "&amp;C14/SI_1!G56," ")</f>
        <v> </v>
      </c>
      <c r="H14" s="424"/>
      <c r="I14" s="424"/>
      <c r="J14" s="424"/>
      <c r="K14" s="424"/>
      <c r="L14" s="424"/>
      <c r="M14" s="424"/>
      <c r="N14" s="424"/>
    </row>
    <row r="15" spans="1:14" ht="41.25" customHeight="1" thickBot="1">
      <c r="A15" s="223" t="str">
        <f>'t14'!A13</f>
        <v>INCARICHI LIBERO PROFESSIONALI/STUDIO/RICERCA/CONSULENZA</v>
      </c>
      <c r="B15" s="330" t="str">
        <f>'t14'!B13</f>
        <v>L109</v>
      </c>
      <c r="C15" s="327">
        <f>'t14'!D13</f>
        <v>0</v>
      </c>
      <c r="D15" s="427" t="str">
        <f t="shared" si="1"/>
        <v> </v>
      </c>
      <c r="E15" s="1468" t="str">
        <f>IF(SI_1!G59=0,IF('t14'!D13=0," ","MANCA IL NUMERO DEI CONTRATTI NELLA SI_1"),IF('t14'!D13=0,"VERIFICARE SE INSERIRE LE SPESE"," "))</f>
        <v> </v>
      </c>
      <c r="F15" s="1472"/>
      <c r="G15" s="352" t="str">
        <f>IF(AND(C15&gt;0,SI_1!G59&gt;0),"VALORE MEDIO UNITARIO DI SPESA =  "&amp;C15/SI_1!G59," ")</f>
        <v> </v>
      </c>
      <c r="H15" s="424"/>
      <c r="I15" s="424"/>
      <c r="J15" s="424"/>
      <c r="K15" s="424"/>
      <c r="L15" s="424"/>
      <c r="M15" s="424"/>
      <c r="N15" s="424"/>
    </row>
    <row r="16" spans="1:14" ht="41.25" customHeight="1" thickBot="1">
      <c r="A16" s="223" t="str">
        <f>'t14'!A14</f>
        <v>CONTRATTI PER RESA SERVIZI/ADEMPIMENTI OBBLIGATORI PER LEGGE</v>
      </c>
      <c r="B16" s="330" t="str">
        <f>'t14'!B14</f>
        <v>L115</v>
      </c>
      <c r="C16" s="327">
        <f>'t14'!D14</f>
        <v>0</v>
      </c>
      <c r="D16" s="427" t="str">
        <f>IF($B$4=0," ",(IF(C16=0," ",C16/$B$4)))</f>
        <v> </v>
      </c>
      <c r="E16" s="1468" t="str">
        <f>IF(SI_1!G62=0,IF('t14'!D14=0," ","MANCA IL NUMERO DEI CONTRATTI NELLA SI_1"),IF('t14'!D14=0,"VERIFICARE SE INSERIRE LE SPESE"," "))</f>
        <v> </v>
      </c>
      <c r="F16" s="1472"/>
      <c r="G16" s="352" t="str">
        <f>IF(AND(C16&gt;0,SI_1!G62&gt;0),"VALORE MEDIO UNITARIO DI SPESA =  "&amp;C16/SI_1!G62," ")</f>
        <v> </v>
      </c>
      <c r="H16" s="424"/>
      <c r="I16" s="424"/>
      <c r="J16" s="424"/>
      <c r="K16" s="424"/>
      <c r="L16" s="424"/>
      <c r="M16" s="424"/>
      <c r="N16" s="424"/>
    </row>
    <row r="17" spans="1:14" ht="19.5" customHeight="1">
      <c r="A17" s="223" t="str">
        <f>'t14'!A15</f>
        <v>ALTRE SPESE</v>
      </c>
      <c r="B17" s="330" t="str">
        <f>'t14'!B15</f>
        <v>L110</v>
      </c>
      <c r="C17" s="327">
        <f>'t14'!D15</f>
        <v>0</v>
      </c>
      <c r="D17" s="427" t="str">
        <f t="shared" si="1"/>
        <v> </v>
      </c>
      <c r="E17" s="1465" t="str">
        <f>IF($B$4=0,"TABELLE 12 -13 ASSENTI",(IF('t12'!J23=0,"TAB. 12 ASSENTE",(IF('t13'!R23=0,"TAB. 13 ASSENTE"," ")))))</f>
        <v>TABELLE 12 -13 ASSENTI</v>
      </c>
      <c r="F17" s="1474" t="s">
        <v>304</v>
      </c>
      <c r="G17" s="1475" t="s">
        <v>304</v>
      </c>
      <c r="H17" s="424"/>
      <c r="I17" s="424"/>
      <c r="J17" s="424"/>
      <c r="K17" s="424"/>
      <c r="L17" s="424"/>
      <c r="M17" s="424"/>
      <c r="N17" s="424"/>
    </row>
    <row r="18" spans="1:14" ht="19.5" customHeight="1">
      <c r="A18" s="223" t="str">
        <f>'t14'!A16</f>
        <v>RETRIBUZIONI PERSONALE  A TEMPO DETERMINATO</v>
      </c>
      <c r="B18" s="330" t="str">
        <f>'t14'!B16</f>
        <v>P015</v>
      </c>
      <c r="C18" s="327">
        <f>'t14'!D16</f>
        <v>0</v>
      </c>
      <c r="D18" s="427" t="str">
        <f t="shared" si="1"/>
        <v> </v>
      </c>
      <c r="E18" s="1476" t="s">
        <v>304</v>
      </c>
      <c r="F18" s="1477" t="s">
        <v>304</v>
      </c>
      <c r="G18" s="1478" t="s">
        <v>304</v>
      </c>
      <c r="H18" s="424"/>
      <c r="I18" s="424"/>
      <c r="J18" s="424"/>
      <c r="K18" s="424"/>
      <c r="L18" s="424"/>
      <c r="M18" s="424"/>
      <c r="N18" s="424"/>
    </row>
    <row r="19" spans="1:14" ht="19.5" customHeight="1">
      <c r="A19" s="223" t="str">
        <f>'t14'!A17</f>
        <v>RETRIBUZIONI PERSONALE CON CONTRATTO DI FORMAZIONE E LAVORO</v>
      </c>
      <c r="B19" s="330" t="str">
        <f>'t14'!B17</f>
        <v>P016</v>
      </c>
      <c r="C19" s="327">
        <f>'t14'!D17</f>
        <v>0</v>
      </c>
      <c r="D19" s="427" t="str">
        <f t="shared" si="1"/>
        <v> </v>
      </c>
      <c r="E19" s="1476" t="s">
        <v>304</v>
      </c>
      <c r="F19" s="1477" t="s">
        <v>304</v>
      </c>
      <c r="G19" s="1478" t="s">
        <v>304</v>
      </c>
      <c r="H19" s="424"/>
      <c r="I19" s="424"/>
      <c r="J19" s="424"/>
      <c r="K19" s="424"/>
      <c r="L19" s="424"/>
      <c r="M19" s="424"/>
      <c r="N19" s="424"/>
    </row>
    <row r="20" spans="1:14" ht="19.5" customHeight="1" thickBot="1">
      <c r="A20" s="223" t="str">
        <f>'t14'!A18</f>
        <v>INDENNITA' DI MISSIONE E TRASFERIMENTO</v>
      </c>
      <c r="B20" s="330" t="str">
        <f>'t14'!B18</f>
        <v>P030</v>
      </c>
      <c r="C20" s="327">
        <f>'t14'!D18</f>
        <v>0</v>
      </c>
      <c r="D20" s="427" t="str">
        <f t="shared" si="1"/>
        <v> </v>
      </c>
      <c r="E20" s="1479" t="s">
        <v>304</v>
      </c>
      <c r="F20" s="1480" t="s">
        <v>304</v>
      </c>
      <c r="G20" s="1481" t="s">
        <v>304</v>
      </c>
      <c r="H20" s="424"/>
      <c r="I20" s="424"/>
      <c r="J20" s="424"/>
      <c r="K20" s="424"/>
      <c r="L20" s="424"/>
      <c r="M20" s="424"/>
      <c r="N20" s="424"/>
    </row>
    <row r="21" spans="1:14" ht="30.75" customHeight="1" thickBot="1">
      <c r="A21" s="223" t="str">
        <f>'t14'!A20</f>
        <v>CONTRIBUTI A CARICO DELL'AMM.NE SU COMP. FISSE E ACCESSORIE</v>
      </c>
      <c r="B21" s="330" t="str">
        <f>'t14'!B20</f>
        <v>P055</v>
      </c>
      <c r="C21" s="327">
        <f>'t14'!D20</f>
        <v>0</v>
      </c>
      <c r="D21" s="427" t="str">
        <f t="shared" si="1"/>
        <v> </v>
      </c>
      <c r="E21" s="502" t="str">
        <f>IF(AND(C31=0,B4=0)," ",IF(C31=0,"TABELLA 14 ASSENTE",IF(AND(B4=0,C18=0,C19=0,C25=0),"INSERIRE RETRIBUZIONI",IF(C21=0,"INSERIRE CONTRIBUTI",ROUND((C21/(B4+C18+C19+C25)*100),2)))))</f>
        <v> </v>
      </c>
      <c r="F21" s="1469" t="str">
        <f>IF(AND(B4=0,C31=0)," ",IF(C31=0,"VALORE INCONGRUENTE",IF(C21=0," ",IF(OR(E21&lt;25.398,E21&gt;34.362),"VALORE INCONGRUENTE (Inc. 4)","OK"))))</f>
        <v> </v>
      </c>
      <c r="G21" s="1470"/>
      <c r="H21" s="424"/>
      <c r="I21" s="424"/>
      <c r="J21" s="424"/>
      <c r="K21" s="424"/>
      <c r="L21" s="424"/>
      <c r="M21" s="424"/>
      <c r="N21" s="424"/>
    </row>
    <row r="22" spans="1:14" ht="30.75" customHeight="1" thickBot="1">
      <c r="A22" s="223" t="str">
        <f>'t14'!A21</f>
        <v>QUOTE ANNUE ACCANTONAMENTO TFR O ALTRA IND. FINE SERVIZIO</v>
      </c>
      <c r="B22" s="330" t="str">
        <f>'t14'!B21</f>
        <v>P058</v>
      </c>
      <c r="C22" s="327">
        <f>'t14'!D21</f>
        <v>0</v>
      </c>
      <c r="D22" s="427" t="str">
        <f>IF($B$4=0," ",(IF(C22=0," ",C22/$B$4)))</f>
        <v> </v>
      </c>
      <c r="E22" s="1459" t="str">
        <f>IF($B$4=0,"TABELLE 12 -13 ASSENTI",(IF('t12'!$J$23=0,"TAB. 12 ASSENTE",(IF('t13'!$R$23=0,"TAB. 13 ASSENTE"," ")))))</f>
        <v>TABELLE 12 -13 ASSENTI</v>
      </c>
      <c r="F22" s="1460" t="s">
        <v>304</v>
      </c>
      <c r="G22" s="1461" t="s">
        <v>304</v>
      </c>
      <c r="H22" s="424"/>
      <c r="I22" s="424"/>
      <c r="J22" s="424"/>
      <c r="K22" s="424"/>
      <c r="L22" s="424"/>
      <c r="M22" s="424"/>
      <c r="N22" s="424"/>
    </row>
    <row r="23" spans="1:14" ht="24" customHeight="1" thickBot="1">
      <c r="A23" s="223" t="str">
        <f>'t14'!A22</f>
        <v>IRAP</v>
      </c>
      <c r="B23" s="330" t="str">
        <f>'t14'!B22</f>
        <v>P061</v>
      </c>
      <c r="C23" s="327">
        <f>'t14'!D22</f>
        <v>0</v>
      </c>
      <c r="D23" s="427" t="str">
        <f>IF($B$4=0," ",IF(C23=0," ",C23/$B$4))</f>
        <v> </v>
      </c>
      <c r="E23" s="502" t="str">
        <f>IF(AND(B4=0,C31=0)," ",IF(C31=0,"TABELLA 14 ASSENTE",IF(AND(B4=0,C18=0,C19=0,C25=0),"INSERIRE RETRIBUZIONI",IF(C23=0,"INSERIRE SOMME IRAP",ROUND((C23/(B4+C18+C19+C25)*100),2)))))</f>
        <v> </v>
      </c>
      <c r="F23" s="1469" t="str">
        <f>IF('t14'!G22=1,IF(E23&gt;8.5,"VALORE INCONGRUENTE (Inc.4)","E' stata dichiarata IRAP Commerciale"),IF(AND(B4=0,C31=0)," ",IF(C31=0,"VALORE INCONGRUENTE",IF(C23=0," ",IF(OR(E23&lt;7.65,E23&gt;9.35),"VALORE INCONGRUENTE (Inc.4)","OK")))))</f>
        <v> </v>
      </c>
      <c r="G23" s="1470"/>
      <c r="H23" s="424"/>
      <c r="I23" s="424"/>
      <c r="J23" s="424"/>
      <c r="K23" s="424"/>
      <c r="L23" s="424"/>
      <c r="M23" s="424"/>
      <c r="N23" s="424"/>
    </row>
    <row r="24" spans="1:14" ht="19.5" customHeight="1" thickBot="1">
      <c r="A24" s="223" t="str">
        <f>'t14'!A23</f>
        <v>ONERI PER I CONTRATTI DI SOMMINISTRAZIONE(INTERINALI)</v>
      </c>
      <c r="B24" s="330" t="str">
        <f>'t14'!B23</f>
        <v>P062</v>
      </c>
      <c r="C24" s="328">
        <f>'t14'!D23</f>
        <v>0</v>
      </c>
      <c r="D24" s="429" t="str">
        <f>IF($B$4=0," ",(IF(AND(C24=0,C12&gt;0),"MANCANO GLI ONERI PER I LAVORATORI",IF(C24=0," ",C24/$B$4))))</f>
        <v> </v>
      </c>
      <c r="E24" s="1471" t="str">
        <f>(IF(AND(C24=0,C12&gt;0),"L105 VALORIZZATA; INSERIRE RETRIBUZIONI PER INTERINALI (P062)"," "))</f>
        <v> </v>
      </c>
      <c r="F24" s="1482"/>
      <c r="G24" s="1483"/>
      <c r="H24" s="424"/>
      <c r="I24" s="424"/>
      <c r="J24" s="424"/>
      <c r="K24" s="424"/>
      <c r="L24" s="424"/>
      <c r="M24" s="424"/>
      <c r="N24" s="424"/>
    </row>
    <row r="25" spans="1:14" ht="19.5" customHeight="1">
      <c r="A25" s="223" t="str">
        <f>'t14'!A24</f>
        <v>COMPENSI PER PERSONALE LSU/LPU</v>
      </c>
      <c r="B25" s="330" t="str">
        <f>'t14'!B24</f>
        <v>P065</v>
      </c>
      <c r="C25" s="327">
        <f>'t14'!D24</f>
        <v>0</v>
      </c>
      <c r="D25" s="431" t="str">
        <f aca="true" t="shared" si="2" ref="D25:D30">IF($B$4=0," ",(IF(C25=0," ",C25/$B$4)))</f>
        <v> </v>
      </c>
      <c r="E25" s="1459" t="str">
        <f>IF($B$4=0,"TABELLE 12 -13 ASSENTI",(IF('t12'!$J$23=0,"TAB. 12 ASSENTE",(IF('t13'!$R$23=0,"TAB. 13 ASSENTE"," ")))))</f>
        <v>TABELLE 12 -13 ASSENTI</v>
      </c>
      <c r="F25" s="1460"/>
      <c r="G25" s="1461"/>
      <c r="H25" s="424"/>
      <c r="I25" s="424"/>
      <c r="J25" s="424"/>
      <c r="K25" s="424"/>
      <c r="L25" s="424"/>
      <c r="M25" s="424"/>
      <c r="N25" s="424"/>
    </row>
    <row r="26" spans="1:14" ht="19.5" customHeight="1">
      <c r="A26" s="223" t="str">
        <f>'t14'!A25</f>
        <v>SOMME RIMBORSATE PER PERSONALE COMAND./FUORI RUOLO/IN CONV.</v>
      </c>
      <c r="B26" s="330" t="str">
        <f>'t14'!B25</f>
        <v>P071</v>
      </c>
      <c r="C26" s="327">
        <f>'t14'!D25</f>
        <v>0</v>
      </c>
      <c r="D26" s="430" t="str">
        <f t="shared" si="2"/>
        <v> </v>
      </c>
      <c r="E26" s="1459"/>
      <c r="F26" s="1460"/>
      <c r="G26" s="1461"/>
      <c r="H26" s="424"/>
      <c r="I26" s="424"/>
      <c r="J26" s="424"/>
      <c r="K26" s="424"/>
      <c r="L26" s="424"/>
      <c r="M26" s="424"/>
      <c r="N26" s="424"/>
    </row>
    <row r="27" spans="1:14" ht="19.5" customHeight="1">
      <c r="A27" s="223" t="str">
        <f>'t14'!A26</f>
        <v>ALTRE SOMME RIMBORSATE ALLE AMMINISTRAZIONI</v>
      </c>
      <c r="B27" s="330" t="str">
        <f>'t14'!B26</f>
        <v>P074</v>
      </c>
      <c r="C27" s="327">
        <f>'t14'!D26</f>
        <v>0</v>
      </c>
      <c r="D27" s="430" t="str">
        <f t="shared" si="2"/>
        <v> </v>
      </c>
      <c r="E27" s="1459"/>
      <c r="F27" s="1460"/>
      <c r="G27" s="1461"/>
      <c r="H27" s="424"/>
      <c r="I27" s="424"/>
      <c r="J27" s="424"/>
      <c r="K27" s="424"/>
      <c r="L27" s="424"/>
      <c r="M27" s="424"/>
      <c r="N27" s="424"/>
    </row>
    <row r="28" spans="1:14" ht="19.5" customHeight="1">
      <c r="A28" s="223" t="str">
        <f>'t14'!A27</f>
        <v>SOMME RICEVUTE DA U.E. E/O PRIVATI (-)</v>
      </c>
      <c r="B28" s="330" t="str">
        <f>'t14'!B27</f>
        <v>P098</v>
      </c>
      <c r="C28" s="327">
        <f>'t14'!D27</f>
        <v>0</v>
      </c>
      <c r="D28" s="430" t="str">
        <f t="shared" si="2"/>
        <v> </v>
      </c>
      <c r="E28" s="1459"/>
      <c r="F28" s="1460"/>
      <c r="G28" s="1461"/>
      <c r="H28" s="424"/>
      <c r="I28" s="424"/>
      <c r="J28" s="424"/>
      <c r="K28" s="424"/>
      <c r="L28" s="424"/>
      <c r="M28" s="424"/>
      <c r="N28" s="424"/>
    </row>
    <row r="29" spans="1:14" ht="19.5" customHeight="1">
      <c r="A29" s="223" t="str">
        <f>'t14'!A28</f>
        <v>RIMBORSI RICEVUTI PER PERS. COMAND./FUORI RUOLO/IN CONV. (-)</v>
      </c>
      <c r="B29" s="330" t="str">
        <f>'t14'!B28</f>
        <v>P090</v>
      </c>
      <c r="C29" s="327">
        <f>'t14'!D28</f>
        <v>0</v>
      </c>
      <c r="D29" s="430" t="str">
        <f t="shared" si="2"/>
        <v> </v>
      </c>
      <c r="E29" s="1459"/>
      <c r="F29" s="1460"/>
      <c r="G29" s="1461"/>
      <c r="H29" s="424"/>
      <c r="I29" s="424"/>
      <c r="J29" s="424"/>
      <c r="K29" s="424"/>
      <c r="L29" s="424"/>
      <c r="M29" s="424"/>
      <c r="N29" s="424"/>
    </row>
    <row r="30" spans="1:14" ht="19.5" customHeight="1" thickBot="1">
      <c r="A30" s="223" t="str">
        <f>'t14'!A29</f>
        <v>ALTRI RIMBORSI RICEVUTI DALLE AMMINISTRAZIONI (-)</v>
      </c>
      <c r="B30" s="330" t="str">
        <f>'t14'!B29</f>
        <v>P099</v>
      </c>
      <c r="C30" s="327">
        <f>'t14'!D29</f>
        <v>0</v>
      </c>
      <c r="D30" s="430" t="str">
        <f t="shared" si="2"/>
        <v> </v>
      </c>
      <c r="E30" s="1462"/>
      <c r="F30" s="1463"/>
      <c r="G30" s="1464"/>
      <c r="H30" s="424"/>
      <c r="I30" s="424"/>
      <c r="J30" s="424"/>
      <c r="K30" s="424"/>
      <c r="L30" s="424"/>
      <c r="M30" s="424"/>
      <c r="N30" s="424"/>
    </row>
    <row r="31" spans="1:14" s="423" customFormat="1" ht="18" customHeight="1">
      <c r="A31" s="421" t="s">
        <v>77</v>
      </c>
      <c r="B31" s="421"/>
      <c r="C31" s="422">
        <f>SUM(C6:C30)</f>
        <v>0</v>
      </c>
      <c r="D31" s="421"/>
      <c r="E31" s="421"/>
      <c r="F31" s="421"/>
      <c r="G31" s="421"/>
      <c r="I31" s="425"/>
      <c r="J31" s="425"/>
      <c r="K31" s="425"/>
      <c r="L31" s="425"/>
      <c r="M31" s="425"/>
      <c r="N31" s="425"/>
    </row>
  </sheetData>
  <sheetProtection password="EA98" sheet="1" formatColumns="0" selectLockedCells="1" selectUnlockedCells="1"/>
  <mergeCells count="16">
    <mergeCell ref="E24:G24"/>
    <mergeCell ref="E16:F16"/>
    <mergeCell ref="A1:E1"/>
    <mergeCell ref="B2:G2"/>
    <mergeCell ref="B4:G4"/>
    <mergeCell ref="E5:G5"/>
    <mergeCell ref="E25:G30"/>
    <mergeCell ref="E6:G11"/>
    <mergeCell ref="E12:G12"/>
    <mergeCell ref="F21:G21"/>
    <mergeCell ref="F23:G23"/>
    <mergeCell ref="E13:G13"/>
    <mergeCell ref="E17:G20"/>
    <mergeCell ref="E22:G22"/>
    <mergeCell ref="E14:F14"/>
    <mergeCell ref="E15:F15"/>
  </mergeCells>
  <printOptions horizontalCentered="1" verticalCentered="1"/>
  <pageMargins left="0.1968503937007874" right="0.2362204724409449" top="0.1968503937007874" bottom="0.1968503937007874" header="0.15748031496062992" footer="0.15748031496062992"/>
  <pageSetup fitToHeight="1" fitToWidth="1" horizontalDpi="300" verticalDpi="300" orientation="landscape" paperSize="9" scale="72" r:id="rId1"/>
  <ignoredErrors>
    <ignoredError sqref="D24" formula="1"/>
  </ignoredErrors>
</worksheet>
</file>

<file path=xl/worksheets/sheet33.xml><?xml version="1.0" encoding="utf-8"?>
<worksheet xmlns="http://schemas.openxmlformats.org/spreadsheetml/2006/main" xmlns:r="http://schemas.openxmlformats.org/officeDocument/2006/relationships">
  <sheetPr codeName="Foglio30"/>
  <dimension ref="A1:K22"/>
  <sheetViews>
    <sheetView showGridLines="0" zoomScalePageLayoutView="0" workbookViewId="0" topLeftCell="A1">
      <pane ySplit="5" topLeftCell="A6" activePane="bottomLeft" state="frozen"/>
      <selection pane="topLeft" activeCell="A2" sqref="A2"/>
      <selection pane="bottomLeft" activeCell="B5" sqref="B5"/>
    </sheetView>
  </sheetViews>
  <sheetFormatPr defaultColWidth="9.33203125" defaultRowHeight="10.5"/>
  <cols>
    <col min="1" max="1" width="38.83203125" style="5" customWidth="1"/>
    <col min="2" max="2" width="11.33203125" style="7" customWidth="1"/>
    <col min="3" max="3" width="21.33203125" style="418" customWidth="1"/>
    <col min="4" max="5" width="21.33203125" style="7" customWidth="1"/>
    <col min="6" max="6" width="21.33203125" style="368" customWidth="1"/>
    <col min="7" max="7" width="21.33203125" style="7" customWidth="1"/>
    <col min="8" max="8" width="9.33203125" style="112" customWidth="1"/>
  </cols>
  <sheetData>
    <row r="1" spans="1:11" s="5" customFormat="1" ht="43.5" customHeight="1">
      <c r="A1" s="1349" t="str">
        <f>'t1'!A1</f>
        <v>CNEL - anno 2018</v>
      </c>
      <c r="B1" s="1349"/>
      <c r="C1" s="1349"/>
      <c r="D1" s="1349"/>
      <c r="E1" s="1349"/>
      <c r="F1" s="1349"/>
      <c r="G1" s="1349"/>
      <c r="I1" s="3"/>
      <c r="K1"/>
    </row>
    <row r="2" spans="3:11" s="5" customFormat="1" ht="12.75" customHeight="1">
      <c r="C2" s="415"/>
      <c r="D2" s="1439"/>
      <c r="E2" s="1439"/>
      <c r="F2" s="1439"/>
      <c r="G2" s="1439"/>
      <c r="H2" s="322"/>
      <c r="I2" s="3"/>
      <c r="K2"/>
    </row>
    <row r="3" spans="1:7" s="5" customFormat="1" ht="21" customHeight="1">
      <c r="A3" s="200" t="s">
        <v>307</v>
      </c>
      <c r="B3" s="7"/>
      <c r="C3" s="415"/>
      <c r="F3" s="369"/>
      <c r="G3" s="7"/>
    </row>
    <row r="4" spans="1:7" ht="53.25" customHeight="1">
      <c r="A4" s="186" t="s">
        <v>238</v>
      </c>
      <c r="B4" s="188" t="s">
        <v>200</v>
      </c>
      <c r="C4" s="416" t="str">
        <f>"Presenti 31.12."&amp;'t1'!L1&amp;" (Tab T1) uomini+donne della tabella T1"</f>
        <v>Presenti 31.12.2018 (Tab T1) uomini+donne della tabella T1</v>
      </c>
      <c r="D4" s="187" t="s">
        <v>302</v>
      </c>
      <c r="E4" s="187" t="s">
        <v>305</v>
      </c>
      <c r="F4" s="419" t="s">
        <v>306</v>
      </c>
      <c r="G4" s="187" t="s">
        <v>308</v>
      </c>
    </row>
    <row r="5" spans="1:8" s="204" customFormat="1" ht="9.75">
      <c r="A5" s="185"/>
      <c r="B5" s="198"/>
      <c r="C5" s="417" t="s">
        <v>202</v>
      </c>
      <c r="D5" s="202" t="s">
        <v>203</v>
      </c>
      <c r="E5" s="202" t="s">
        <v>204</v>
      </c>
      <c r="F5" s="420" t="s">
        <v>205</v>
      </c>
      <c r="G5" s="202"/>
      <c r="H5" s="112"/>
    </row>
    <row r="6" spans="1:7" ht="12.75">
      <c r="A6" s="141" t="str">
        <f>'t1'!A6</f>
        <v>DIRIGENTE I FASCIA</v>
      </c>
      <c r="B6" s="324" t="str">
        <f>'t1'!B6</f>
        <v>0D0077</v>
      </c>
      <c r="C6" s="744">
        <f>('t1'!K6+'t1'!L6)</f>
        <v>0</v>
      </c>
      <c r="D6" s="349">
        <f>'t5'!S7+'t5'!T7</f>
        <v>0</v>
      </c>
      <c r="E6" s="349">
        <f>'t4'!T6</f>
        <v>0</v>
      </c>
      <c r="F6" s="350">
        <f>'t12'!C6</f>
        <v>0</v>
      </c>
      <c r="G6" s="370" t="str">
        <f>IF(OR(AND(NOT(C6),NOT(D6),NOT(E6),NOT(F6)),AND((OR(C6,D6,E6)),F6)),"OK","ERRORE")</f>
        <v>OK</v>
      </c>
    </row>
    <row r="7" spans="1:7" ht="12.75">
      <c r="A7" s="141" t="str">
        <f>'t1'!A7</f>
        <v>DIRIGENTE I FASCIA A TEMPO DETERM.</v>
      </c>
      <c r="B7" s="324" t="str">
        <f>'t1'!B7</f>
        <v>0D0078</v>
      </c>
      <c r="C7" s="744">
        <f>('t1'!K7+'t1'!L7)</f>
        <v>0</v>
      </c>
      <c r="D7" s="349">
        <f>'t5'!S8+'t5'!T8</f>
        <v>0</v>
      </c>
      <c r="E7" s="349">
        <f>'t4'!T7</f>
        <v>0</v>
      </c>
      <c r="F7" s="350">
        <f>'t12'!C7</f>
        <v>0</v>
      </c>
      <c r="G7" s="370" t="str">
        <f aca="true" t="shared" si="0" ref="G7:G22">IF(OR(AND(NOT(C7),NOT(D7),NOT(E7),NOT(F7)),AND((OR(C7,D7,E7)),F7)),"OK","ERRORE")</f>
        <v>OK</v>
      </c>
    </row>
    <row r="8" spans="1:7" ht="12.75">
      <c r="A8" s="141" t="str">
        <f>'t1'!A8</f>
        <v>DIRIGENTE II FASCIA</v>
      </c>
      <c r="B8" s="324" t="str">
        <f>'t1'!B8</f>
        <v>0D0079</v>
      </c>
      <c r="C8" s="744">
        <f>('t1'!K8+'t1'!L8)</f>
        <v>0</v>
      </c>
      <c r="D8" s="349">
        <f>'t5'!S9+'t5'!T9</f>
        <v>0</v>
      </c>
      <c r="E8" s="349">
        <f>'t4'!T8</f>
        <v>0</v>
      </c>
      <c r="F8" s="350">
        <f>'t12'!C8</f>
        <v>0</v>
      </c>
      <c r="G8" s="370" t="str">
        <f t="shared" si="0"/>
        <v>OK</v>
      </c>
    </row>
    <row r="9" spans="1:7" ht="12.75">
      <c r="A9" s="141" t="str">
        <f>'t1'!A9</f>
        <v>DIRIGENTE II FASCIA A TEMPO DETERM.</v>
      </c>
      <c r="B9" s="324" t="str">
        <f>'t1'!B9</f>
        <v>0D0080</v>
      </c>
      <c r="C9" s="744">
        <f>('t1'!K9+'t1'!L9)</f>
        <v>0</v>
      </c>
      <c r="D9" s="349">
        <f>'t5'!S10+'t5'!T10</f>
        <v>0</v>
      </c>
      <c r="E9" s="349">
        <f>'t4'!T9</f>
        <v>0</v>
      </c>
      <c r="F9" s="350">
        <f>'t12'!C9</f>
        <v>0</v>
      </c>
      <c r="G9" s="370" t="str">
        <f t="shared" si="0"/>
        <v>OK</v>
      </c>
    </row>
    <row r="10" spans="1:7" ht="12.75">
      <c r="A10" s="141" t="str">
        <f>'t1'!A10</f>
        <v>POSIZIONE ECONOMICA C5</v>
      </c>
      <c r="B10" s="324" t="str">
        <f>'t1'!B10</f>
        <v>046000</v>
      </c>
      <c r="C10" s="744">
        <f>('t1'!K10+'t1'!L10)</f>
        <v>0</v>
      </c>
      <c r="D10" s="349">
        <f>'t5'!S11+'t5'!T11</f>
        <v>0</v>
      </c>
      <c r="E10" s="349">
        <f>'t4'!T10</f>
        <v>0</v>
      </c>
      <c r="F10" s="350">
        <f>'t12'!C10</f>
        <v>0</v>
      </c>
      <c r="G10" s="370" t="str">
        <f t="shared" si="0"/>
        <v>OK</v>
      </c>
    </row>
    <row r="11" spans="1:7" ht="12.75">
      <c r="A11" s="141" t="str">
        <f>'t1'!A11</f>
        <v>POSIZIONE ECONOMICA C4</v>
      </c>
      <c r="B11" s="324" t="str">
        <f>'t1'!B11</f>
        <v>045000</v>
      </c>
      <c r="C11" s="744">
        <f>('t1'!K11+'t1'!L11)</f>
        <v>0</v>
      </c>
      <c r="D11" s="349">
        <f>'t5'!S12+'t5'!T12</f>
        <v>0</v>
      </c>
      <c r="E11" s="349">
        <f>'t4'!T11</f>
        <v>0</v>
      </c>
      <c r="F11" s="350">
        <f>'t12'!C11</f>
        <v>0</v>
      </c>
      <c r="G11" s="370" t="str">
        <f t="shared" si="0"/>
        <v>OK</v>
      </c>
    </row>
    <row r="12" spans="1:7" ht="12.75">
      <c r="A12" s="141" t="str">
        <f>'t1'!A12</f>
        <v>POSIZIONE ECONOMICA C3</v>
      </c>
      <c r="B12" s="324" t="str">
        <f>'t1'!B12</f>
        <v>043000</v>
      </c>
      <c r="C12" s="744">
        <f>('t1'!K12+'t1'!L12)</f>
        <v>0</v>
      </c>
      <c r="D12" s="349">
        <f>'t5'!S13+'t5'!T13</f>
        <v>0</v>
      </c>
      <c r="E12" s="349">
        <f>'t4'!T12</f>
        <v>0</v>
      </c>
      <c r="F12" s="350">
        <f>'t12'!C12</f>
        <v>0</v>
      </c>
      <c r="G12" s="370" t="str">
        <f t="shared" si="0"/>
        <v>OK</v>
      </c>
    </row>
    <row r="13" spans="1:7" ht="12.75">
      <c r="A13" s="141" t="str">
        <f>'t1'!A13</f>
        <v>POSIZIONE ECONOMICA C2</v>
      </c>
      <c r="B13" s="324" t="str">
        <f>'t1'!B13</f>
        <v>042000</v>
      </c>
      <c r="C13" s="744">
        <f>('t1'!K13+'t1'!L13)</f>
        <v>0</v>
      </c>
      <c r="D13" s="349">
        <f>'t5'!S14+'t5'!T14</f>
        <v>0</v>
      </c>
      <c r="E13" s="349">
        <f>'t4'!T13</f>
        <v>0</v>
      </c>
      <c r="F13" s="350">
        <f>'t12'!C13</f>
        <v>0</v>
      </c>
      <c r="G13" s="370" t="str">
        <f t="shared" si="0"/>
        <v>OK</v>
      </c>
    </row>
    <row r="14" spans="1:7" ht="12.75">
      <c r="A14" s="141" t="str">
        <f>'t1'!A14</f>
        <v>POSIZIONE ECONOMICA C1</v>
      </c>
      <c r="B14" s="324" t="str">
        <f>'t1'!B14</f>
        <v>040000</v>
      </c>
      <c r="C14" s="744">
        <f>('t1'!K14+'t1'!L14)</f>
        <v>0</v>
      </c>
      <c r="D14" s="349">
        <f>'t5'!S15+'t5'!T15</f>
        <v>0</v>
      </c>
      <c r="E14" s="349">
        <f>'t4'!T14</f>
        <v>0</v>
      </c>
      <c r="F14" s="350">
        <f>'t12'!C14</f>
        <v>0</v>
      </c>
      <c r="G14" s="370" t="str">
        <f t="shared" si="0"/>
        <v>OK</v>
      </c>
    </row>
    <row r="15" spans="1:7" ht="12.75">
      <c r="A15" s="141" t="str">
        <f>'t1'!A15</f>
        <v>POSIZIONE ECONOMICA B4</v>
      </c>
      <c r="B15" s="324" t="str">
        <f>'t1'!B15</f>
        <v>036000</v>
      </c>
      <c r="C15" s="744">
        <f>('t1'!K15+'t1'!L15)</f>
        <v>0</v>
      </c>
      <c r="D15" s="349">
        <f>'t5'!S16+'t5'!T16</f>
        <v>0</v>
      </c>
      <c r="E15" s="349">
        <f>'t4'!T15</f>
        <v>0</v>
      </c>
      <c r="F15" s="350">
        <f>'t12'!C15</f>
        <v>0</v>
      </c>
      <c r="G15" s="370" t="str">
        <f t="shared" si="0"/>
        <v>OK</v>
      </c>
    </row>
    <row r="16" spans="1:7" ht="12.75">
      <c r="A16" s="141" t="str">
        <f>'t1'!A16</f>
        <v>POSIZIONE ECONOMICA B3</v>
      </c>
      <c r="B16" s="324" t="str">
        <f>'t1'!B16</f>
        <v>034000</v>
      </c>
      <c r="C16" s="744">
        <f>('t1'!K16+'t1'!L16)</f>
        <v>0</v>
      </c>
      <c r="D16" s="349">
        <f>'t5'!S17+'t5'!T17</f>
        <v>0</v>
      </c>
      <c r="E16" s="349">
        <f>'t4'!T16</f>
        <v>0</v>
      </c>
      <c r="F16" s="350">
        <f>'t12'!C16</f>
        <v>0</v>
      </c>
      <c r="G16" s="370" t="str">
        <f t="shared" si="0"/>
        <v>OK</v>
      </c>
    </row>
    <row r="17" spans="1:7" ht="12.75">
      <c r="A17" s="141" t="str">
        <f>'t1'!A17</f>
        <v>POSIZIONE ECONOMICA B2</v>
      </c>
      <c r="B17" s="324" t="str">
        <f>'t1'!B17</f>
        <v>032000</v>
      </c>
      <c r="C17" s="744">
        <f>('t1'!K17+'t1'!L17)</f>
        <v>0</v>
      </c>
      <c r="D17" s="349">
        <f>'t5'!S18+'t5'!T18</f>
        <v>0</v>
      </c>
      <c r="E17" s="349">
        <f>'t4'!T17</f>
        <v>0</v>
      </c>
      <c r="F17" s="350">
        <f>'t12'!C17</f>
        <v>0</v>
      </c>
      <c r="G17" s="370" t="str">
        <f t="shared" si="0"/>
        <v>OK</v>
      </c>
    </row>
    <row r="18" spans="1:7" ht="12.75">
      <c r="A18" s="141" t="str">
        <f>'t1'!A18</f>
        <v>POSIZIONE ECONOMICA B1</v>
      </c>
      <c r="B18" s="324" t="str">
        <f>'t1'!B18</f>
        <v>030000</v>
      </c>
      <c r="C18" s="744">
        <f>('t1'!K18+'t1'!L18)</f>
        <v>0</v>
      </c>
      <c r="D18" s="349">
        <f>'t5'!S19+'t5'!T19</f>
        <v>0</v>
      </c>
      <c r="E18" s="349">
        <f>'t4'!T18</f>
        <v>0</v>
      </c>
      <c r="F18" s="350">
        <f>'t12'!C18</f>
        <v>0</v>
      </c>
      <c r="G18" s="370" t="str">
        <f t="shared" si="0"/>
        <v>OK</v>
      </c>
    </row>
    <row r="19" spans="1:7" ht="12.75">
      <c r="A19" s="141" t="str">
        <f>'t1'!A19</f>
        <v>POSIZIONE ECONOMICA A3</v>
      </c>
      <c r="B19" s="324" t="str">
        <f>'t1'!B19</f>
        <v>027000</v>
      </c>
      <c r="C19" s="744">
        <f>('t1'!K19+'t1'!L19)</f>
        <v>0</v>
      </c>
      <c r="D19" s="349">
        <f>'t5'!S20+'t5'!T20</f>
        <v>0</v>
      </c>
      <c r="E19" s="349">
        <f>'t4'!T19</f>
        <v>0</v>
      </c>
      <c r="F19" s="350">
        <f>'t12'!C19</f>
        <v>0</v>
      </c>
      <c r="G19" s="370" t="str">
        <f t="shared" si="0"/>
        <v>OK</v>
      </c>
    </row>
    <row r="20" spans="1:7" ht="12.75">
      <c r="A20" s="141" t="str">
        <f>'t1'!A20</f>
        <v>POSIZIONE ECONOMICA A2</v>
      </c>
      <c r="B20" s="324" t="str">
        <f>'t1'!B20</f>
        <v>025000</v>
      </c>
      <c r="C20" s="744">
        <f>('t1'!K20+'t1'!L20)</f>
        <v>0</v>
      </c>
      <c r="D20" s="349">
        <f>'t5'!S21+'t5'!T21</f>
        <v>0</v>
      </c>
      <c r="E20" s="349">
        <f>'t4'!T20</f>
        <v>0</v>
      </c>
      <c r="F20" s="350">
        <f>'t12'!C20</f>
        <v>0</v>
      </c>
      <c r="G20" s="370" t="str">
        <f t="shared" si="0"/>
        <v>OK</v>
      </c>
    </row>
    <row r="21" spans="1:7" ht="12.75">
      <c r="A21" s="141" t="str">
        <f>'t1'!A21</f>
        <v>POSIZIONE ECONOMICA A1</v>
      </c>
      <c r="B21" s="324" t="str">
        <f>'t1'!B21</f>
        <v>023000</v>
      </c>
      <c r="C21" s="744">
        <f>('t1'!K21+'t1'!L21)</f>
        <v>0</v>
      </c>
      <c r="D21" s="349">
        <f>'t5'!S22+'t5'!T22</f>
        <v>0</v>
      </c>
      <c r="E21" s="349">
        <f>'t4'!T21</f>
        <v>0</v>
      </c>
      <c r="F21" s="350">
        <f>'t12'!C21</f>
        <v>0</v>
      </c>
      <c r="G21" s="370" t="str">
        <f t="shared" si="0"/>
        <v>OK</v>
      </c>
    </row>
    <row r="22" spans="1:7" ht="12.75">
      <c r="A22" s="141" t="str">
        <f>'t1'!A22</f>
        <v>CONTRATTISTI (a)</v>
      </c>
      <c r="B22" s="324" t="str">
        <f>'t1'!B22</f>
        <v>000061</v>
      </c>
      <c r="C22" s="744">
        <f>('t1'!K22+'t1'!L22)</f>
        <v>0</v>
      </c>
      <c r="D22" s="349">
        <f>'t5'!S23+'t5'!T23</f>
        <v>0</v>
      </c>
      <c r="E22" s="349">
        <f>'t4'!T22</f>
        <v>0</v>
      </c>
      <c r="F22" s="350">
        <f>'t12'!C22</f>
        <v>0</v>
      </c>
      <c r="G22" s="370" t="str">
        <f t="shared" si="0"/>
        <v>OK</v>
      </c>
    </row>
  </sheetData>
  <sheetProtection password="EA98" sheet="1" formatColumns="0" selectLockedCells="1" selectUnlockedCells="1"/>
  <mergeCells count="2">
    <mergeCell ref="A1:G1"/>
    <mergeCell ref="D2:G2"/>
  </mergeCells>
  <printOptions horizontalCentered="1" verticalCentered="1"/>
  <pageMargins left="0.1968503937007874" right="0.1968503937007874" top="0.1968503937007874" bottom="0.15748031496062992" header="0.15748031496062992" footer="0.15748031496062992"/>
  <pageSetup orientation="landscape" paperSize="9" scale="85" r:id="rId1"/>
</worksheet>
</file>

<file path=xl/worksheets/sheet34.xml><?xml version="1.0" encoding="utf-8"?>
<worksheet xmlns="http://schemas.openxmlformats.org/spreadsheetml/2006/main" xmlns:r="http://schemas.openxmlformats.org/officeDocument/2006/relationships">
  <sheetPr codeName="Foglio31"/>
  <dimension ref="A1:I22"/>
  <sheetViews>
    <sheetView showGridLines="0" zoomScalePageLayoutView="0" workbookViewId="0" topLeftCell="A1">
      <pane ySplit="5" topLeftCell="A6" activePane="bottomLeft" state="frozen"/>
      <selection pane="topLeft" activeCell="A2" sqref="A2"/>
      <selection pane="bottomLeft" activeCell="B5" sqref="B5"/>
    </sheetView>
  </sheetViews>
  <sheetFormatPr defaultColWidth="9.33203125" defaultRowHeight="10.5"/>
  <cols>
    <col min="1" max="1" width="38.83203125" style="5" customWidth="1"/>
    <col min="2" max="2" width="11.33203125" style="7" customWidth="1"/>
    <col min="3" max="3" width="17.83203125" style="7" customWidth="1"/>
    <col min="4" max="4" width="26.66015625" style="368" customWidth="1"/>
    <col min="5" max="5" width="15.83203125" style="7" customWidth="1"/>
    <col min="6" max="6" width="9.33203125" style="112" customWidth="1"/>
  </cols>
  <sheetData>
    <row r="1" spans="1:9" s="5" customFormat="1" ht="43.5" customHeight="1">
      <c r="A1" s="1349" t="str">
        <f>'t1'!A1</f>
        <v>CNEL - anno 2018</v>
      </c>
      <c r="B1" s="1349"/>
      <c r="C1" s="1349"/>
      <c r="D1" s="1349"/>
      <c r="E1" s="1349"/>
      <c r="G1" s="3"/>
      <c r="I1"/>
    </row>
    <row r="2" spans="3:9" s="5" customFormat="1" ht="12.75" customHeight="1">
      <c r="C2" s="1439"/>
      <c r="D2" s="1439"/>
      <c r="E2" s="1439"/>
      <c r="F2" s="322"/>
      <c r="G2" s="3"/>
      <c r="I2"/>
    </row>
    <row r="3" spans="1:5" s="5" customFormat="1" ht="21" customHeight="1">
      <c r="A3" s="200" t="s">
        <v>359</v>
      </c>
      <c r="B3" s="7"/>
      <c r="D3" s="369"/>
      <c r="E3" s="7"/>
    </row>
    <row r="4" spans="1:5" ht="81.75" customHeight="1">
      <c r="A4" s="186" t="s">
        <v>238</v>
      </c>
      <c r="B4" s="188" t="s">
        <v>200</v>
      </c>
      <c r="C4" s="187" t="s">
        <v>303</v>
      </c>
      <c r="D4" s="419" t="s">
        <v>336</v>
      </c>
      <c r="E4" s="187" t="s">
        <v>314</v>
      </c>
    </row>
    <row r="5" spans="1:6" s="204" customFormat="1" ht="9.75">
      <c r="A5" s="185"/>
      <c r="B5" s="198"/>
      <c r="C5" s="202" t="s">
        <v>202</v>
      </c>
      <c r="D5" s="420" t="s">
        <v>203</v>
      </c>
      <c r="E5" s="202"/>
      <c r="F5" s="203"/>
    </row>
    <row r="6" spans="1:5" ht="12.75">
      <c r="A6" s="141" t="str">
        <f>'t1'!A6</f>
        <v>DIRIGENTE I FASCIA</v>
      </c>
      <c r="B6" s="324" t="str">
        <f>'t1'!B6</f>
        <v>0D0077</v>
      </c>
      <c r="C6" s="349">
        <f>'t13'!R6</f>
        <v>0</v>
      </c>
      <c r="D6" s="350">
        <f>('t3'!M6+'t3'!N6+'t3'!O6+'t3'!P6+'t3'!Q6+'t3'!R6)+('t12'!C6/12)</f>
        <v>0</v>
      </c>
      <c r="E6" s="370" t="str">
        <f>IF(OR((NOT(C6)),(AND(C6&gt;=0,D6&gt;0))),"OK","ERRORE")</f>
        <v>OK</v>
      </c>
    </row>
    <row r="7" spans="1:5" ht="12.75">
      <c r="A7" s="141" t="str">
        <f>'t1'!A7</f>
        <v>DIRIGENTE I FASCIA A TEMPO DETERM.</v>
      </c>
      <c r="B7" s="324" t="str">
        <f>'t1'!B7</f>
        <v>0D0078</v>
      </c>
      <c r="C7" s="349">
        <f>'t13'!R7</f>
        <v>0</v>
      </c>
      <c r="D7" s="350">
        <f>('t3'!M7+'t3'!N7+'t3'!O7+'t3'!P7+'t3'!Q7+'t3'!R7)+('t12'!C7/12)</f>
        <v>0</v>
      </c>
      <c r="E7" s="370" t="str">
        <f aca="true" t="shared" si="0" ref="E7:E22">IF(OR((NOT(C7)),(AND(C7&gt;=0,D7&gt;0))),"OK","ERRORE")</f>
        <v>OK</v>
      </c>
    </row>
    <row r="8" spans="1:5" ht="12.75">
      <c r="A8" s="141" t="str">
        <f>'t1'!A8</f>
        <v>DIRIGENTE II FASCIA</v>
      </c>
      <c r="B8" s="324" t="str">
        <f>'t1'!B8</f>
        <v>0D0079</v>
      </c>
      <c r="C8" s="349">
        <f>'t13'!R8</f>
        <v>0</v>
      </c>
      <c r="D8" s="350">
        <f>('t3'!M8+'t3'!N8+'t3'!O8+'t3'!P8+'t3'!Q8+'t3'!R8)+('t12'!C8/12)</f>
        <v>0</v>
      </c>
      <c r="E8" s="370" t="str">
        <f t="shared" si="0"/>
        <v>OK</v>
      </c>
    </row>
    <row r="9" spans="1:5" ht="12.75">
      <c r="A9" s="141" t="str">
        <f>'t1'!A9</f>
        <v>DIRIGENTE II FASCIA A TEMPO DETERM.</v>
      </c>
      <c r="B9" s="324" t="str">
        <f>'t1'!B9</f>
        <v>0D0080</v>
      </c>
      <c r="C9" s="349">
        <f>'t13'!R9</f>
        <v>0</v>
      </c>
      <c r="D9" s="350">
        <f>('t3'!M9+'t3'!N9+'t3'!O9+'t3'!P9+'t3'!Q9+'t3'!R9)+('t12'!C9/12)</f>
        <v>0</v>
      </c>
      <c r="E9" s="370" t="str">
        <f t="shared" si="0"/>
        <v>OK</v>
      </c>
    </row>
    <row r="10" spans="1:5" ht="12.75">
      <c r="A10" s="141" t="str">
        <f>'t1'!A10</f>
        <v>POSIZIONE ECONOMICA C5</v>
      </c>
      <c r="B10" s="324" t="str">
        <f>'t1'!B10</f>
        <v>046000</v>
      </c>
      <c r="C10" s="349">
        <f>'t13'!R10</f>
        <v>0</v>
      </c>
      <c r="D10" s="350">
        <f>('t3'!M10+'t3'!N10+'t3'!O10+'t3'!P10+'t3'!Q10+'t3'!R10)+('t12'!C10/12)</f>
        <v>0</v>
      </c>
      <c r="E10" s="370" t="str">
        <f t="shared" si="0"/>
        <v>OK</v>
      </c>
    </row>
    <row r="11" spans="1:5" ht="12.75">
      <c r="A11" s="141" t="str">
        <f>'t1'!A11</f>
        <v>POSIZIONE ECONOMICA C4</v>
      </c>
      <c r="B11" s="324" t="str">
        <f>'t1'!B11</f>
        <v>045000</v>
      </c>
      <c r="C11" s="349">
        <f>'t13'!R11</f>
        <v>0</v>
      </c>
      <c r="D11" s="350">
        <f>('t3'!M11+'t3'!N11+'t3'!O11+'t3'!P11+'t3'!Q11+'t3'!R11)+('t12'!C11/12)</f>
        <v>0</v>
      </c>
      <c r="E11" s="370" t="str">
        <f t="shared" si="0"/>
        <v>OK</v>
      </c>
    </row>
    <row r="12" spans="1:5" ht="12.75">
      <c r="A12" s="141" t="str">
        <f>'t1'!A12</f>
        <v>POSIZIONE ECONOMICA C3</v>
      </c>
      <c r="B12" s="324" t="str">
        <f>'t1'!B12</f>
        <v>043000</v>
      </c>
      <c r="C12" s="349">
        <f>'t13'!R12</f>
        <v>0</v>
      </c>
      <c r="D12" s="350">
        <f>('t3'!M12+'t3'!N12+'t3'!O12+'t3'!P12+'t3'!Q12+'t3'!R12)+('t12'!C12/12)</f>
        <v>0</v>
      </c>
      <c r="E12" s="370" t="str">
        <f t="shared" si="0"/>
        <v>OK</v>
      </c>
    </row>
    <row r="13" spans="1:5" ht="12.75">
      <c r="A13" s="141" t="str">
        <f>'t1'!A13</f>
        <v>POSIZIONE ECONOMICA C2</v>
      </c>
      <c r="B13" s="324" t="str">
        <f>'t1'!B13</f>
        <v>042000</v>
      </c>
      <c r="C13" s="349">
        <f>'t13'!R13</f>
        <v>0</v>
      </c>
      <c r="D13" s="350">
        <f>('t3'!M13+'t3'!N13+'t3'!O13+'t3'!P13+'t3'!Q13+'t3'!R13)+('t12'!C13/12)</f>
        <v>0</v>
      </c>
      <c r="E13" s="370" t="str">
        <f t="shared" si="0"/>
        <v>OK</v>
      </c>
    </row>
    <row r="14" spans="1:5" ht="12.75">
      <c r="A14" s="141" t="str">
        <f>'t1'!A14</f>
        <v>POSIZIONE ECONOMICA C1</v>
      </c>
      <c r="B14" s="324" t="str">
        <f>'t1'!B14</f>
        <v>040000</v>
      </c>
      <c r="C14" s="349">
        <f>'t13'!R14</f>
        <v>0</v>
      </c>
      <c r="D14" s="350">
        <f>('t3'!M14+'t3'!N14+'t3'!O14+'t3'!P14+'t3'!Q14+'t3'!R14)+('t12'!C14/12)</f>
        <v>0</v>
      </c>
      <c r="E14" s="370" t="str">
        <f t="shared" si="0"/>
        <v>OK</v>
      </c>
    </row>
    <row r="15" spans="1:5" ht="12.75">
      <c r="A15" s="141" t="str">
        <f>'t1'!A15</f>
        <v>POSIZIONE ECONOMICA B4</v>
      </c>
      <c r="B15" s="324" t="str">
        <f>'t1'!B15</f>
        <v>036000</v>
      </c>
      <c r="C15" s="349">
        <f>'t13'!R15</f>
        <v>0</v>
      </c>
      <c r="D15" s="350">
        <f>('t3'!M15+'t3'!N15+'t3'!O15+'t3'!P15+'t3'!Q15+'t3'!R15)+('t12'!C15/12)</f>
        <v>0</v>
      </c>
      <c r="E15" s="370" t="str">
        <f t="shared" si="0"/>
        <v>OK</v>
      </c>
    </row>
    <row r="16" spans="1:5" ht="12.75">
      <c r="A16" s="141" t="str">
        <f>'t1'!A16</f>
        <v>POSIZIONE ECONOMICA B3</v>
      </c>
      <c r="B16" s="324" t="str">
        <f>'t1'!B16</f>
        <v>034000</v>
      </c>
      <c r="C16" s="349">
        <f>'t13'!R16</f>
        <v>0</v>
      </c>
      <c r="D16" s="350">
        <f>('t3'!M16+'t3'!N16+'t3'!O16+'t3'!P16+'t3'!Q16+'t3'!R16)+('t12'!C16/12)</f>
        <v>0</v>
      </c>
      <c r="E16" s="370" t="str">
        <f t="shared" si="0"/>
        <v>OK</v>
      </c>
    </row>
    <row r="17" spans="1:5" ht="12.75">
      <c r="A17" s="141" t="str">
        <f>'t1'!A17</f>
        <v>POSIZIONE ECONOMICA B2</v>
      </c>
      <c r="B17" s="324" t="str">
        <f>'t1'!B17</f>
        <v>032000</v>
      </c>
      <c r="C17" s="349">
        <f>'t13'!R17</f>
        <v>0</v>
      </c>
      <c r="D17" s="350">
        <f>('t3'!M17+'t3'!N17+'t3'!O17+'t3'!P17+'t3'!Q17+'t3'!R17)+('t12'!C17/12)</f>
        <v>0</v>
      </c>
      <c r="E17" s="370" t="str">
        <f t="shared" si="0"/>
        <v>OK</v>
      </c>
    </row>
    <row r="18" spans="1:5" ht="12.75">
      <c r="A18" s="141" t="str">
        <f>'t1'!A18</f>
        <v>POSIZIONE ECONOMICA B1</v>
      </c>
      <c r="B18" s="324" t="str">
        <f>'t1'!B18</f>
        <v>030000</v>
      </c>
      <c r="C18" s="349">
        <f>'t13'!R18</f>
        <v>0</v>
      </c>
      <c r="D18" s="350">
        <f>('t3'!M18+'t3'!N18+'t3'!O18+'t3'!P18+'t3'!Q18+'t3'!R18)+('t12'!C18/12)</f>
        <v>0</v>
      </c>
      <c r="E18" s="370" t="str">
        <f t="shared" si="0"/>
        <v>OK</v>
      </c>
    </row>
    <row r="19" spans="1:5" ht="12.75">
      <c r="A19" s="141" t="str">
        <f>'t1'!A19</f>
        <v>POSIZIONE ECONOMICA A3</v>
      </c>
      <c r="B19" s="324" t="str">
        <f>'t1'!B19</f>
        <v>027000</v>
      </c>
      <c r="C19" s="349">
        <f>'t13'!R19</f>
        <v>0</v>
      </c>
      <c r="D19" s="350">
        <f>('t3'!M19+'t3'!N19+'t3'!O19+'t3'!P19+'t3'!Q19+'t3'!R19)+('t12'!C19/12)</f>
        <v>0</v>
      </c>
      <c r="E19" s="370" t="str">
        <f t="shared" si="0"/>
        <v>OK</v>
      </c>
    </row>
    <row r="20" spans="1:5" ht="12.75">
      <c r="A20" s="141" t="str">
        <f>'t1'!A20</f>
        <v>POSIZIONE ECONOMICA A2</v>
      </c>
      <c r="B20" s="324" t="str">
        <f>'t1'!B20</f>
        <v>025000</v>
      </c>
      <c r="C20" s="349">
        <f>'t13'!R20</f>
        <v>0</v>
      </c>
      <c r="D20" s="350">
        <f>('t3'!M20+'t3'!N20+'t3'!O20+'t3'!P20+'t3'!Q20+'t3'!R20)+('t12'!C20/12)</f>
        <v>0</v>
      </c>
      <c r="E20" s="370" t="str">
        <f t="shared" si="0"/>
        <v>OK</v>
      </c>
    </row>
    <row r="21" spans="1:5" ht="12.75">
      <c r="A21" s="141" t="str">
        <f>'t1'!A21</f>
        <v>POSIZIONE ECONOMICA A1</v>
      </c>
      <c r="B21" s="324" t="str">
        <f>'t1'!B21</f>
        <v>023000</v>
      </c>
      <c r="C21" s="349">
        <f>'t13'!R21</f>
        <v>0</v>
      </c>
      <c r="D21" s="350">
        <f>('t3'!M21+'t3'!N21+'t3'!O21+'t3'!P21+'t3'!Q21+'t3'!R21)+('t12'!C21/12)</f>
        <v>0</v>
      </c>
      <c r="E21" s="370" t="str">
        <f t="shared" si="0"/>
        <v>OK</v>
      </c>
    </row>
    <row r="22" spans="1:5" ht="12.75">
      <c r="A22" s="141" t="str">
        <f>'t1'!A22</f>
        <v>CONTRATTISTI (a)</v>
      </c>
      <c r="B22" s="324" t="str">
        <f>'t1'!B22</f>
        <v>000061</v>
      </c>
      <c r="C22" s="349">
        <f>'t13'!R22</f>
        <v>0</v>
      </c>
      <c r="D22" s="350">
        <f>('t3'!M22+'t3'!N22+'t3'!O22+'t3'!P22+'t3'!Q22+'t3'!R22)+('t12'!C22/12)</f>
        <v>0</v>
      </c>
      <c r="E22" s="370" t="str">
        <f t="shared" si="0"/>
        <v>OK</v>
      </c>
    </row>
  </sheetData>
  <sheetProtection password="EA98" sheet="1" formatColumns="0" selectLockedCells="1" selectUnlockedCells="1"/>
  <mergeCells count="2">
    <mergeCell ref="A1:E1"/>
    <mergeCell ref="C2:E2"/>
  </mergeCells>
  <printOptions horizontalCentered="1" verticalCentered="1"/>
  <pageMargins left="0.1968503937007874" right="0.1968503937007874" top="0.1968503937007874" bottom="0.15748031496062992" header="0.15748031496062992" footer="0.15748031496062992"/>
  <pageSetup orientation="landscape" paperSize="9" scale="85" r:id="rId1"/>
</worksheet>
</file>

<file path=xl/worksheets/sheet35.xml><?xml version="1.0" encoding="utf-8"?>
<worksheet xmlns="http://schemas.openxmlformats.org/spreadsheetml/2006/main" xmlns:r="http://schemas.openxmlformats.org/officeDocument/2006/relationships">
  <sheetPr codeName="Foglio28"/>
  <dimension ref="A1:N22"/>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A2" sqref="A2"/>
    </sheetView>
  </sheetViews>
  <sheetFormatPr defaultColWidth="9.33203125" defaultRowHeight="10.5"/>
  <cols>
    <col min="1" max="1" width="38.83203125" style="5" customWidth="1"/>
    <col min="2" max="2" width="10" style="7" customWidth="1"/>
    <col min="3" max="8" width="11.83203125" style="7" customWidth="1"/>
    <col min="9" max="9" width="13.83203125" style="7" customWidth="1"/>
    <col min="10" max="11" width="16.83203125" style="7" hidden="1" customWidth="1"/>
    <col min="12" max="12" width="85.83203125" style="0" customWidth="1"/>
  </cols>
  <sheetData>
    <row r="1" spans="1:14" s="5" customFormat="1" ht="43.5" customHeight="1">
      <c r="A1" s="1349" t="str">
        <f>'t1'!A1</f>
        <v>CNEL - anno 2018</v>
      </c>
      <c r="B1" s="1349"/>
      <c r="C1" s="1349"/>
      <c r="D1" s="1349"/>
      <c r="E1" s="1349"/>
      <c r="F1" s="1349"/>
      <c r="G1" s="1349"/>
      <c r="H1" s="1349"/>
      <c r="I1" s="1349"/>
      <c r="J1" s="1349"/>
      <c r="K1" s="1349"/>
      <c r="L1" s="3"/>
      <c r="N1"/>
    </row>
    <row r="2" spans="4:14" s="5" customFormat="1" ht="12.75" customHeight="1">
      <c r="D2" s="1439"/>
      <c r="E2" s="1439"/>
      <c r="F2" s="1439"/>
      <c r="G2" s="1439"/>
      <c r="H2" s="1439"/>
      <c r="I2" s="1439"/>
      <c r="J2" s="1439"/>
      <c r="K2" s="1439"/>
      <c r="L2" s="3"/>
      <c r="N2"/>
    </row>
    <row r="3" spans="1:3" s="5" customFormat="1" ht="21" customHeight="1">
      <c r="A3" s="200" t="s">
        <v>667</v>
      </c>
      <c r="B3" s="7"/>
      <c r="C3" s="7"/>
    </row>
    <row r="4" spans="1:12" ht="40.5">
      <c r="A4" s="186" t="s">
        <v>238</v>
      </c>
      <c r="B4" s="188" t="s">
        <v>200</v>
      </c>
      <c r="C4" s="187" t="s">
        <v>43</v>
      </c>
      <c r="D4" s="187" t="s">
        <v>44</v>
      </c>
      <c r="E4" s="187" t="s">
        <v>45</v>
      </c>
      <c r="F4" s="187" t="s">
        <v>46</v>
      </c>
      <c r="G4" s="187" t="s">
        <v>47</v>
      </c>
      <c r="H4" s="187" t="s">
        <v>48</v>
      </c>
      <c r="I4" s="187" t="s">
        <v>49</v>
      </c>
      <c r="J4" s="187" t="s">
        <v>50</v>
      </c>
      <c r="K4" s="187" t="s">
        <v>51</v>
      </c>
      <c r="L4" s="642" t="s">
        <v>431</v>
      </c>
    </row>
    <row r="5" spans="1:12" s="204" customFormat="1" ht="51" hidden="1">
      <c r="A5" s="185"/>
      <c r="B5" s="198"/>
      <c r="C5" s="198" t="s">
        <v>202</v>
      </c>
      <c r="D5" s="202" t="s">
        <v>203</v>
      </c>
      <c r="E5" s="202" t="s">
        <v>204</v>
      </c>
      <c r="F5" s="202" t="s">
        <v>205</v>
      </c>
      <c r="G5" s="202" t="s">
        <v>206</v>
      </c>
      <c r="H5" s="202" t="s">
        <v>226</v>
      </c>
      <c r="I5" s="202"/>
      <c r="J5" s="685" t="s">
        <v>444</v>
      </c>
      <c r="K5" s="685" t="s">
        <v>623</v>
      </c>
      <c r="L5" s="687"/>
    </row>
    <row r="6" spans="1:12" ht="12.75">
      <c r="A6" s="141" t="str">
        <f>'t1'!A6</f>
        <v>DIRIGENTE I FASCIA</v>
      </c>
      <c r="B6" s="324" t="str">
        <f>'t1'!B6</f>
        <v>0D0077</v>
      </c>
      <c r="C6" s="349">
        <f>'t11'!U8+'t11'!V8</f>
        <v>0</v>
      </c>
      <c r="D6" s="349">
        <f>'t1'!K6+'t1'!L6</f>
        <v>0</v>
      </c>
      <c r="E6" s="349">
        <f>'t3'!M6+'t3'!N6+'t3'!O6+'t3'!P6+'t3'!Q6+'t3'!R6</f>
        <v>0</v>
      </c>
      <c r="F6" s="349">
        <f>'t4'!T6</f>
        <v>0</v>
      </c>
      <c r="G6" s="347">
        <f>'t4'!C23</f>
        <v>0</v>
      </c>
      <c r="H6" s="349">
        <f>'t5'!S7+'t5'!T7</f>
        <v>0</v>
      </c>
      <c r="I6" s="370" t="str">
        <f>IF(AND(J6="OK",K6="OK"),"OK","ERRORE")</f>
        <v>OK</v>
      </c>
      <c r="J6" s="370" t="str">
        <f aca="true" t="shared" si="0" ref="J6:J22">IF(AND(C6&gt;0,D6=0,E6=0,F6=0,G6=0,H6=0),"KO","OK")</f>
        <v>OK</v>
      </c>
      <c r="K6" s="370" t="str">
        <f aca="true" t="shared" si="1" ref="K6:K22">IF(AND(C6=0,OR(D6&gt;0,E6&gt;0,F6&gt;0,G6&gt;0,H6&gt;0)),"KO","OK")</f>
        <v>OK</v>
      </c>
      <c r="L6" s="688">
        <f>IF(K6="KO",$K$5,IF(J6="KO",$J$5,""))</f>
      </c>
    </row>
    <row r="7" spans="1:12" ht="12.75">
      <c r="A7" s="141" t="str">
        <f>'t1'!A7</f>
        <v>DIRIGENTE I FASCIA A TEMPO DETERM.</v>
      </c>
      <c r="B7" s="324" t="str">
        <f>'t1'!B7</f>
        <v>0D0078</v>
      </c>
      <c r="C7" s="349">
        <f>'t11'!U9+'t11'!V9</f>
        <v>0</v>
      </c>
      <c r="D7" s="349">
        <f>'t1'!K7+'t1'!L7</f>
        <v>0</v>
      </c>
      <c r="E7" s="349">
        <f>'t3'!M7+'t3'!N7+'t3'!O7+'t3'!P7+'t3'!Q7+'t3'!R7</f>
        <v>0</v>
      </c>
      <c r="F7" s="349">
        <f>'t4'!T7</f>
        <v>0</v>
      </c>
      <c r="G7" s="347">
        <f>'t4'!D23</f>
        <v>0</v>
      </c>
      <c r="H7" s="349">
        <f>'t5'!S8+'t5'!T8</f>
        <v>0</v>
      </c>
      <c r="I7" s="370" t="str">
        <f aca="true" t="shared" si="2" ref="I7:I22">IF(AND(J7="OK",K7="OK"),"OK","ERRORE")</f>
        <v>OK</v>
      </c>
      <c r="J7" s="370" t="str">
        <f t="shared" si="0"/>
        <v>OK</v>
      </c>
      <c r="K7" s="370" t="str">
        <f t="shared" si="1"/>
        <v>OK</v>
      </c>
      <c r="L7" s="688">
        <f aca="true" t="shared" si="3" ref="L7:L22">IF(K7="KO",$K$5,IF(J7="KO",$J$5,""))</f>
      </c>
    </row>
    <row r="8" spans="1:12" ht="12.75">
      <c r="A8" s="141" t="str">
        <f>'t1'!A8</f>
        <v>DIRIGENTE II FASCIA</v>
      </c>
      <c r="B8" s="324" t="str">
        <f>'t1'!B8</f>
        <v>0D0079</v>
      </c>
      <c r="C8" s="349">
        <f>'t11'!U10+'t11'!V10</f>
        <v>0</v>
      </c>
      <c r="D8" s="349">
        <f>'t1'!K8+'t1'!L8</f>
        <v>0</v>
      </c>
      <c r="E8" s="349">
        <f>'t3'!M8+'t3'!N8+'t3'!O8+'t3'!P8+'t3'!Q8+'t3'!R8</f>
        <v>0</v>
      </c>
      <c r="F8" s="349">
        <f>'t4'!T8</f>
        <v>0</v>
      </c>
      <c r="G8" s="347">
        <f>'t4'!E23</f>
        <v>0</v>
      </c>
      <c r="H8" s="349">
        <f>'t5'!S9+'t5'!T9</f>
        <v>0</v>
      </c>
      <c r="I8" s="370" t="str">
        <f t="shared" si="2"/>
        <v>OK</v>
      </c>
      <c r="J8" s="370" t="str">
        <f t="shared" si="0"/>
        <v>OK</v>
      </c>
      <c r="K8" s="370" t="str">
        <f t="shared" si="1"/>
        <v>OK</v>
      </c>
      <c r="L8" s="688">
        <f t="shared" si="3"/>
      </c>
    </row>
    <row r="9" spans="1:12" ht="12.75">
      <c r="A9" s="141" t="str">
        <f>'t1'!A9</f>
        <v>DIRIGENTE II FASCIA A TEMPO DETERM.</v>
      </c>
      <c r="B9" s="324" t="str">
        <f>'t1'!B9</f>
        <v>0D0080</v>
      </c>
      <c r="C9" s="349">
        <f>'t11'!U11+'t11'!V11</f>
        <v>0</v>
      </c>
      <c r="D9" s="349">
        <f>'t1'!K9+'t1'!L9</f>
        <v>0</v>
      </c>
      <c r="E9" s="349">
        <f>'t3'!M9+'t3'!N9+'t3'!O9+'t3'!P9+'t3'!Q9+'t3'!R9</f>
        <v>0</v>
      </c>
      <c r="F9" s="349">
        <f>'t4'!T9</f>
        <v>0</v>
      </c>
      <c r="G9" s="347">
        <f>'t4'!F23</f>
        <v>0</v>
      </c>
      <c r="H9" s="349">
        <f>'t5'!S10+'t5'!T10</f>
        <v>0</v>
      </c>
      <c r="I9" s="370" t="str">
        <f t="shared" si="2"/>
        <v>OK</v>
      </c>
      <c r="J9" s="370" t="str">
        <f t="shared" si="0"/>
        <v>OK</v>
      </c>
      <c r="K9" s="370" t="str">
        <f t="shared" si="1"/>
        <v>OK</v>
      </c>
      <c r="L9" s="688">
        <f t="shared" si="3"/>
      </c>
    </row>
    <row r="10" spans="1:12" ht="12.75">
      <c r="A10" s="141" t="str">
        <f>'t1'!A10</f>
        <v>POSIZIONE ECONOMICA C5</v>
      </c>
      <c r="B10" s="324" t="str">
        <f>'t1'!B10</f>
        <v>046000</v>
      </c>
      <c r="C10" s="349">
        <f>'t11'!U12+'t11'!V12</f>
        <v>0</v>
      </c>
      <c r="D10" s="349">
        <f>'t1'!K10+'t1'!L10</f>
        <v>0</v>
      </c>
      <c r="E10" s="349">
        <f>'t3'!M10+'t3'!N10+'t3'!O10+'t3'!P10+'t3'!Q10+'t3'!R10</f>
        <v>0</v>
      </c>
      <c r="F10" s="349">
        <f>'t4'!T10</f>
        <v>0</v>
      </c>
      <c r="G10" s="347">
        <f>'t4'!G23</f>
        <v>0</v>
      </c>
      <c r="H10" s="349">
        <f>'t5'!S11+'t5'!T11</f>
        <v>0</v>
      </c>
      <c r="I10" s="370" t="str">
        <f t="shared" si="2"/>
        <v>OK</v>
      </c>
      <c r="J10" s="370" t="str">
        <f t="shared" si="0"/>
        <v>OK</v>
      </c>
      <c r="K10" s="370" t="str">
        <f t="shared" si="1"/>
        <v>OK</v>
      </c>
      <c r="L10" s="688">
        <f t="shared" si="3"/>
      </c>
    </row>
    <row r="11" spans="1:12" ht="12.75">
      <c r="A11" s="141" t="str">
        <f>'t1'!A11</f>
        <v>POSIZIONE ECONOMICA C4</v>
      </c>
      <c r="B11" s="324" t="str">
        <f>'t1'!B11</f>
        <v>045000</v>
      </c>
      <c r="C11" s="349">
        <f>'t11'!U13+'t11'!V13</f>
        <v>0</v>
      </c>
      <c r="D11" s="349">
        <f>'t1'!K11+'t1'!L11</f>
        <v>0</v>
      </c>
      <c r="E11" s="349">
        <f>'t3'!M11+'t3'!N11+'t3'!O11+'t3'!P11+'t3'!Q11+'t3'!R11</f>
        <v>0</v>
      </c>
      <c r="F11" s="349">
        <f>'t4'!T11</f>
        <v>0</v>
      </c>
      <c r="G11" s="347">
        <f>'t4'!H23</f>
        <v>0</v>
      </c>
      <c r="H11" s="349">
        <f>'t5'!S12+'t5'!T12</f>
        <v>0</v>
      </c>
      <c r="I11" s="370" t="str">
        <f t="shared" si="2"/>
        <v>OK</v>
      </c>
      <c r="J11" s="370" t="str">
        <f t="shared" si="0"/>
        <v>OK</v>
      </c>
      <c r="K11" s="370" t="str">
        <f t="shared" si="1"/>
        <v>OK</v>
      </c>
      <c r="L11" s="688">
        <f t="shared" si="3"/>
      </c>
    </row>
    <row r="12" spans="1:12" ht="12.75">
      <c r="A12" s="141" t="str">
        <f>'t1'!A12</f>
        <v>POSIZIONE ECONOMICA C3</v>
      </c>
      <c r="B12" s="324" t="str">
        <f>'t1'!B12</f>
        <v>043000</v>
      </c>
      <c r="C12" s="349">
        <f>'t11'!U14+'t11'!V14</f>
        <v>0</v>
      </c>
      <c r="D12" s="349">
        <f>'t1'!K12+'t1'!L12</f>
        <v>0</v>
      </c>
      <c r="E12" s="349">
        <f>'t3'!M12+'t3'!N12+'t3'!O12+'t3'!P12+'t3'!Q12+'t3'!R12</f>
        <v>0</v>
      </c>
      <c r="F12" s="349">
        <f>'t4'!T12</f>
        <v>0</v>
      </c>
      <c r="G12" s="347">
        <f>'t4'!I23</f>
        <v>0</v>
      </c>
      <c r="H12" s="349">
        <f>'t5'!S13+'t5'!T13</f>
        <v>0</v>
      </c>
      <c r="I12" s="370" t="str">
        <f t="shared" si="2"/>
        <v>OK</v>
      </c>
      <c r="J12" s="370" t="str">
        <f t="shared" si="0"/>
        <v>OK</v>
      </c>
      <c r="K12" s="370" t="str">
        <f t="shared" si="1"/>
        <v>OK</v>
      </c>
      <c r="L12" s="688">
        <f t="shared" si="3"/>
      </c>
    </row>
    <row r="13" spans="1:12" ht="12.75">
      <c r="A13" s="141" t="str">
        <f>'t1'!A13</f>
        <v>POSIZIONE ECONOMICA C2</v>
      </c>
      <c r="B13" s="324" t="str">
        <f>'t1'!B13</f>
        <v>042000</v>
      </c>
      <c r="C13" s="349">
        <f>'t11'!U15+'t11'!V15</f>
        <v>0</v>
      </c>
      <c r="D13" s="349">
        <f>'t1'!K13+'t1'!L13</f>
        <v>0</v>
      </c>
      <c r="E13" s="349">
        <f>'t3'!M13+'t3'!N13+'t3'!O13+'t3'!P13+'t3'!Q13+'t3'!R13</f>
        <v>0</v>
      </c>
      <c r="F13" s="349">
        <f>'t4'!T13</f>
        <v>0</v>
      </c>
      <c r="G13" s="347">
        <f>'t4'!J23</f>
        <v>0</v>
      </c>
      <c r="H13" s="349">
        <f>'t5'!S14+'t5'!T14</f>
        <v>0</v>
      </c>
      <c r="I13" s="370" t="str">
        <f t="shared" si="2"/>
        <v>OK</v>
      </c>
      <c r="J13" s="370" t="str">
        <f t="shared" si="0"/>
        <v>OK</v>
      </c>
      <c r="K13" s="370" t="str">
        <f t="shared" si="1"/>
        <v>OK</v>
      </c>
      <c r="L13" s="688">
        <f t="shared" si="3"/>
      </c>
    </row>
    <row r="14" spans="1:12" ht="12.75">
      <c r="A14" s="141" t="str">
        <f>'t1'!A14</f>
        <v>POSIZIONE ECONOMICA C1</v>
      </c>
      <c r="B14" s="324" t="str">
        <f>'t1'!B14</f>
        <v>040000</v>
      </c>
      <c r="C14" s="349">
        <f>'t11'!U16+'t11'!V16</f>
        <v>0</v>
      </c>
      <c r="D14" s="349">
        <f>'t1'!K14+'t1'!L14</f>
        <v>0</v>
      </c>
      <c r="E14" s="349">
        <f>'t3'!M14+'t3'!N14+'t3'!O14+'t3'!P14+'t3'!Q14+'t3'!R14</f>
        <v>0</v>
      </c>
      <c r="F14" s="349">
        <f>'t4'!T14</f>
        <v>0</v>
      </c>
      <c r="G14" s="347">
        <f>'t4'!K23</f>
        <v>0</v>
      </c>
      <c r="H14" s="349">
        <f>'t5'!S15+'t5'!T15</f>
        <v>0</v>
      </c>
      <c r="I14" s="370" t="str">
        <f t="shared" si="2"/>
        <v>OK</v>
      </c>
      <c r="J14" s="370" t="str">
        <f t="shared" si="0"/>
        <v>OK</v>
      </c>
      <c r="K14" s="370" t="str">
        <f t="shared" si="1"/>
        <v>OK</v>
      </c>
      <c r="L14" s="688">
        <f t="shared" si="3"/>
      </c>
    </row>
    <row r="15" spans="1:12" ht="12.75">
      <c r="A15" s="141" t="str">
        <f>'t1'!A15</f>
        <v>POSIZIONE ECONOMICA B4</v>
      </c>
      <c r="B15" s="324" t="str">
        <f>'t1'!B15</f>
        <v>036000</v>
      </c>
      <c r="C15" s="349">
        <f>'t11'!U17+'t11'!V17</f>
        <v>0</v>
      </c>
      <c r="D15" s="349">
        <f>'t1'!K15+'t1'!L15</f>
        <v>0</v>
      </c>
      <c r="E15" s="349">
        <f>'t3'!M15+'t3'!N15+'t3'!O15+'t3'!P15+'t3'!Q15+'t3'!R15</f>
        <v>0</v>
      </c>
      <c r="F15" s="349">
        <f>'t4'!T15</f>
        <v>0</v>
      </c>
      <c r="G15" s="347">
        <f>'t4'!L23</f>
        <v>0</v>
      </c>
      <c r="H15" s="349">
        <f>'t5'!S16+'t5'!T16</f>
        <v>0</v>
      </c>
      <c r="I15" s="370" t="str">
        <f t="shared" si="2"/>
        <v>OK</v>
      </c>
      <c r="J15" s="370" t="str">
        <f t="shared" si="0"/>
        <v>OK</v>
      </c>
      <c r="K15" s="370" t="str">
        <f t="shared" si="1"/>
        <v>OK</v>
      </c>
      <c r="L15" s="688">
        <f t="shared" si="3"/>
      </c>
    </row>
    <row r="16" spans="1:12" ht="12.75">
      <c r="A16" s="141" t="str">
        <f>'t1'!A16</f>
        <v>POSIZIONE ECONOMICA B3</v>
      </c>
      <c r="B16" s="324" t="str">
        <f>'t1'!B16</f>
        <v>034000</v>
      </c>
      <c r="C16" s="349">
        <f>'t11'!U18+'t11'!V18</f>
        <v>0</v>
      </c>
      <c r="D16" s="349">
        <f>'t1'!K16+'t1'!L16</f>
        <v>0</v>
      </c>
      <c r="E16" s="349">
        <f>'t3'!M16+'t3'!N16+'t3'!O16+'t3'!P16+'t3'!Q16+'t3'!R16</f>
        <v>0</v>
      </c>
      <c r="F16" s="349">
        <f>'t4'!T16</f>
        <v>0</v>
      </c>
      <c r="G16" s="347">
        <f>'t4'!M23</f>
        <v>0</v>
      </c>
      <c r="H16" s="349">
        <f>'t5'!S17+'t5'!T17</f>
        <v>0</v>
      </c>
      <c r="I16" s="370" t="str">
        <f t="shared" si="2"/>
        <v>OK</v>
      </c>
      <c r="J16" s="370" t="str">
        <f t="shared" si="0"/>
        <v>OK</v>
      </c>
      <c r="K16" s="370" t="str">
        <f t="shared" si="1"/>
        <v>OK</v>
      </c>
      <c r="L16" s="688">
        <f t="shared" si="3"/>
      </c>
    </row>
    <row r="17" spans="1:12" ht="12.75">
      <c r="A17" s="141" t="str">
        <f>'t1'!A17</f>
        <v>POSIZIONE ECONOMICA B2</v>
      </c>
      <c r="B17" s="324" t="str">
        <f>'t1'!B17</f>
        <v>032000</v>
      </c>
      <c r="C17" s="349">
        <f>'t11'!U19+'t11'!V19</f>
        <v>0</v>
      </c>
      <c r="D17" s="349">
        <f>'t1'!K17+'t1'!L17</f>
        <v>0</v>
      </c>
      <c r="E17" s="349">
        <f>'t3'!M17+'t3'!N17+'t3'!O17+'t3'!P17+'t3'!Q17+'t3'!R17</f>
        <v>0</v>
      </c>
      <c r="F17" s="349">
        <f>'t4'!T17</f>
        <v>0</v>
      </c>
      <c r="G17" s="347">
        <f>'t4'!N23</f>
        <v>0</v>
      </c>
      <c r="H17" s="349">
        <f>'t5'!S18+'t5'!T18</f>
        <v>0</v>
      </c>
      <c r="I17" s="370" t="str">
        <f t="shared" si="2"/>
        <v>OK</v>
      </c>
      <c r="J17" s="370" t="str">
        <f t="shared" si="0"/>
        <v>OK</v>
      </c>
      <c r="K17" s="370" t="str">
        <f t="shared" si="1"/>
        <v>OK</v>
      </c>
      <c r="L17" s="688">
        <f t="shared" si="3"/>
      </c>
    </row>
    <row r="18" spans="1:12" ht="12.75">
      <c r="A18" s="141" t="str">
        <f>'t1'!A18</f>
        <v>POSIZIONE ECONOMICA B1</v>
      </c>
      <c r="B18" s="324" t="str">
        <f>'t1'!B18</f>
        <v>030000</v>
      </c>
      <c r="C18" s="349">
        <f>'t11'!U20+'t11'!V20</f>
        <v>0</v>
      </c>
      <c r="D18" s="349">
        <f>'t1'!K18+'t1'!L18</f>
        <v>0</v>
      </c>
      <c r="E18" s="349">
        <f>'t3'!M18+'t3'!N18+'t3'!O18+'t3'!P18+'t3'!Q18+'t3'!R18</f>
        <v>0</v>
      </c>
      <c r="F18" s="349">
        <f>'t4'!T18</f>
        <v>0</v>
      </c>
      <c r="G18" s="347">
        <f>'t4'!O23</f>
        <v>0</v>
      </c>
      <c r="H18" s="349">
        <f>'t5'!S19+'t5'!T19</f>
        <v>0</v>
      </c>
      <c r="I18" s="370" t="str">
        <f t="shared" si="2"/>
        <v>OK</v>
      </c>
      <c r="J18" s="370" t="str">
        <f t="shared" si="0"/>
        <v>OK</v>
      </c>
      <c r="K18" s="370" t="str">
        <f t="shared" si="1"/>
        <v>OK</v>
      </c>
      <c r="L18" s="688">
        <f t="shared" si="3"/>
      </c>
    </row>
    <row r="19" spans="1:12" ht="12.75">
      <c r="A19" s="141" t="str">
        <f>'t1'!A19</f>
        <v>POSIZIONE ECONOMICA A3</v>
      </c>
      <c r="B19" s="324" t="str">
        <f>'t1'!B19</f>
        <v>027000</v>
      </c>
      <c r="C19" s="349">
        <f>'t11'!U21+'t11'!V21</f>
        <v>0</v>
      </c>
      <c r="D19" s="349">
        <f>'t1'!K19+'t1'!L19</f>
        <v>0</v>
      </c>
      <c r="E19" s="349">
        <f>'t3'!M19+'t3'!N19+'t3'!O19+'t3'!P19+'t3'!Q19+'t3'!R19</f>
        <v>0</v>
      </c>
      <c r="F19" s="349">
        <f>'t4'!T19</f>
        <v>0</v>
      </c>
      <c r="G19" s="347">
        <f>'t4'!P23</f>
        <v>0</v>
      </c>
      <c r="H19" s="349">
        <f>'t5'!S20+'t5'!T20</f>
        <v>0</v>
      </c>
      <c r="I19" s="370" t="str">
        <f t="shared" si="2"/>
        <v>OK</v>
      </c>
      <c r="J19" s="370" t="str">
        <f t="shared" si="0"/>
        <v>OK</v>
      </c>
      <c r="K19" s="370" t="str">
        <f t="shared" si="1"/>
        <v>OK</v>
      </c>
      <c r="L19" s="688">
        <f t="shared" si="3"/>
      </c>
    </row>
    <row r="20" spans="1:12" ht="12.75">
      <c r="A20" s="141" t="str">
        <f>'t1'!A20</f>
        <v>POSIZIONE ECONOMICA A2</v>
      </c>
      <c r="B20" s="324" t="str">
        <f>'t1'!B20</f>
        <v>025000</v>
      </c>
      <c r="C20" s="349">
        <f>'t11'!U22+'t11'!V22</f>
        <v>0</v>
      </c>
      <c r="D20" s="349">
        <f>'t1'!K20+'t1'!L20</f>
        <v>0</v>
      </c>
      <c r="E20" s="349">
        <f>'t3'!M20+'t3'!N20+'t3'!O20+'t3'!P20+'t3'!Q20+'t3'!R20</f>
        <v>0</v>
      </c>
      <c r="F20" s="349">
        <f>'t4'!T20</f>
        <v>0</v>
      </c>
      <c r="G20" s="347">
        <f>'t4'!Q23</f>
        <v>0</v>
      </c>
      <c r="H20" s="349">
        <f>'t5'!S21+'t5'!T21</f>
        <v>0</v>
      </c>
      <c r="I20" s="370" t="str">
        <f t="shared" si="2"/>
        <v>OK</v>
      </c>
      <c r="J20" s="370" t="str">
        <f t="shared" si="0"/>
        <v>OK</v>
      </c>
      <c r="K20" s="370" t="str">
        <f t="shared" si="1"/>
        <v>OK</v>
      </c>
      <c r="L20" s="688">
        <f t="shared" si="3"/>
      </c>
    </row>
    <row r="21" spans="1:12" ht="12.75">
      <c r="A21" s="141" t="str">
        <f>'t1'!A21</f>
        <v>POSIZIONE ECONOMICA A1</v>
      </c>
      <c r="B21" s="324" t="str">
        <f>'t1'!B21</f>
        <v>023000</v>
      </c>
      <c r="C21" s="349">
        <f>'t11'!U23+'t11'!V23</f>
        <v>0</v>
      </c>
      <c r="D21" s="349">
        <f>'t1'!K21+'t1'!L21</f>
        <v>0</v>
      </c>
      <c r="E21" s="349">
        <f>'t3'!M21+'t3'!N21+'t3'!O21+'t3'!P21+'t3'!Q21+'t3'!R21</f>
        <v>0</v>
      </c>
      <c r="F21" s="349">
        <f>'t4'!T21</f>
        <v>0</v>
      </c>
      <c r="G21" s="347">
        <f>'t4'!R23</f>
        <v>0</v>
      </c>
      <c r="H21" s="349">
        <f>'t5'!S22+'t5'!T22</f>
        <v>0</v>
      </c>
      <c r="I21" s="370" t="str">
        <f t="shared" si="2"/>
        <v>OK</v>
      </c>
      <c r="J21" s="370" t="str">
        <f t="shared" si="0"/>
        <v>OK</v>
      </c>
      <c r="K21" s="370" t="str">
        <f t="shared" si="1"/>
        <v>OK</v>
      </c>
      <c r="L21" s="688">
        <f t="shared" si="3"/>
      </c>
    </row>
    <row r="22" spans="1:12" ht="12.75">
      <c r="A22" s="141" t="str">
        <f>'t1'!A22</f>
        <v>CONTRATTISTI (a)</v>
      </c>
      <c r="B22" s="324" t="str">
        <f>'t1'!B22</f>
        <v>000061</v>
      </c>
      <c r="C22" s="349">
        <f>'t11'!U24+'t11'!V24</f>
        <v>0</v>
      </c>
      <c r="D22" s="349">
        <f>'t1'!K22+'t1'!L22</f>
        <v>0</v>
      </c>
      <c r="E22" s="349">
        <f>'t3'!M22+'t3'!N22+'t3'!O22+'t3'!P22+'t3'!Q22+'t3'!R22</f>
        <v>0</v>
      </c>
      <c r="F22" s="349">
        <f>'t4'!T22</f>
        <v>0</v>
      </c>
      <c r="G22" s="347">
        <f>'t4'!S23</f>
        <v>0</v>
      </c>
      <c r="H22" s="349">
        <f>'t5'!S23+'t5'!T23</f>
        <v>0</v>
      </c>
      <c r="I22" s="370" t="str">
        <f t="shared" si="2"/>
        <v>OK</v>
      </c>
      <c r="J22" s="370" t="str">
        <f t="shared" si="0"/>
        <v>OK</v>
      </c>
      <c r="K22" s="370" t="str">
        <f t="shared" si="1"/>
        <v>OK</v>
      </c>
      <c r="L22" s="688">
        <f t="shared" si="3"/>
      </c>
    </row>
  </sheetData>
  <sheetProtection password="EA98" sheet="1" formatColumns="0" selectLockedCells="1" selectUnlockedCells="1"/>
  <mergeCells count="2">
    <mergeCell ref="A1:K1"/>
    <mergeCell ref="D2:K2"/>
  </mergeCells>
  <conditionalFormatting sqref="I6:I22">
    <cfRule type="notContainsText" priority="1" dxfId="15" operator="notContains" stopIfTrue="1" text="ok">
      <formula>ISERROR(SEARCH("ok",I6))</formula>
    </cfRule>
  </conditionalFormatting>
  <printOptions horizontalCentered="1"/>
  <pageMargins left="0.1968503937007874" right="0.1968503937007874" top="0.1968503937007874" bottom="0.15748031496062992" header="0.15748031496062992" footer="0.15748031496062992"/>
  <pageSetup orientation="landscape" paperSize="9" scale="75" r:id="rId1"/>
</worksheet>
</file>

<file path=xl/worksheets/sheet36.xml><?xml version="1.0" encoding="utf-8"?>
<worksheet xmlns="http://schemas.openxmlformats.org/spreadsheetml/2006/main" xmlns:r="http://schemas.openxmlformats.org/officeDocument/2006/relationships">
  <sheetPr codeName="Foglio33"/>
  <dimension ref="A1:M22"/>
  <sheetViews>
    <sheetView showGridLines="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B5" sqref="B5"/>
    </sheetView>
  </sheetViews>
  <sheetFormatPr defaultColWidth="9.33203125" defaultRowHeight="10.5"/>
  <cols>
    <col min="1" max="1" width="38.83203125" style="5" customWidth="1"/>
    <col min="2" max="2" width="10" style="7" customWidth="1"/>
    <col min="3" max="4" width="17.83203125" style="7" customWidth="1"/>
    <col min="5" max="5" width="16.33203125" style="7" customWidth="1"/>
    <col min="6" max="6" width="15.83203125" style="112" customWidth="1"/>
    <col min="7" max="7" width="18.33203125" style="112" customWidth="1"/>
    <col min="8" max="8" width="16.33203125" style="7" customWidth="1"/>
    <col min="9" max="9" width="15.83203125" style="112" customWidth="1"/>
    <col min="10" max="10" width="18.33203125" style="7" customWidth="1"/>
  </cols>
  <sheetData>
    <row r="1" spans="1:13" s="5" customFormat="1" ht="43.5" customHeight="1">
      <c r="A1" s="1349" t="str">
        <f>'t1'!A1</f>
        <v>CNEL - anno 2018</v>
      </c>
      <c r="B1" s="1349"/>
      <c r="C1" s="1349"/>
      <c r="D1" s="1349"/>
      <c r="E1" s="1349"/>
      <c r="F1" s="1349"/>
      <c r="G1" s="1349"/>
      <c r="H1" s="1349"/>
      <c r="I1" s="1349"/>
      <c r="J1" s="1349"/>
      <c r="K1" s="3"/>
      <c r="M1"/>
    </row>
    <row r="2" spans="4:13" s="5" customFormat="1" ht="12.75" customHeight="1">
      <c r="D2" s="1439"/>
      <c r="E2" s="1439"/>
      <c r="F2" s="1439"/>
      <c r="G2" s="1439"/>
      <c r="H2" s="1439"/>
      <c r="I2" s="1439"/>
      <c r="J2" s="1439"/>
      <c r="K2" s="3"/>
      <c r="M2"/>
    </row>
    <row r="3" spans="1:3" s="5" customFormat="1" ht="21" customHeight="1">
      <c r="A3" s="200" t="s">
        <v>425</v>
      </c>
      <c r="B3" s="7"/>
      <c r="C3" s="7"/>
    </row>
    <row r="4" spans="1:10" ht="30">
      <c r="A4" s="186" t="s">
        <v>238</v>
      </c>
      <c r="B4" s="188" t="s">
        <v>200</v>
      </c>
      <c r="C4" s="642" t="s">
        <v>303</v>
      </c>
      <c r="D4" s="187" t="s">
        <v>310</v>
      </c>
      <c r="E4" s="642" t="s">
        <v>418</v>
      </c>
      <c r="F4" s="642" t="s">
        <v>424</v>
      </c>
      <c r="G4" s="187" t="s">
        <v>365</v>
      </c>
      <c r="H4" s="642" t="s">
        <v>419</v>
      </c>
      <c r="I4" s="642" t="s">
        <v>424</v>
      </c>
      <c r="J4" s="642" t="s">
        <v>420</v>
      </c>
    </row>
    <row r="5" spans="1:10" s="204" customFormat="1" ht="9.75">
      <c r="A5" s="185"/>
      <c r="B5" s="198"/>
      <c r="C5" s="198" t="s">
        <v>202</v>
      </c>
      <c r="D5" s="202" t="s">
        <v>203</v>
      </c>
      <c r="E5" s="202" t="s">
        <v>416</v>
      </c>
      <c r="F5" s="202" t="s">
        <v>422</v>
      </c>
      <c r="G5" s="202" t="s">
        <v>206</v>
      </c>
      <c r="H5" s="202" t="s">
        <v>417</v>
      </c>
      <c r="I5" s="202" t="s">
        <v>423</v>
      </c>
      <c r="J5" s="202"/>
    </row>
    <row r="6" spans="1:10" ht="12.75">
      <c r="A6" s="141" t="str">
        <f>'t1'!A6</f>
        <v>DIRIGENTE I FASCIA</v>
      </c>
      <c r="B6" s="324" t="str">
        <f>'t1'!B6</f>
        <v>0D0077</v>
      </c>
      <c r="C6" s="349">
        <f>'t13'!R6</f>
        <v>0</v>
      </c>
      <c r="D6" s="349">
        <f>'t13'!O6</f>
        <v>0</v>
      </c>
      <c r="E6" s="351" t="str">
        <f>IF($C6=0," ",IF(D6=0," ",D6/$C6))</f>
        <v> </v>
      </c>
      <c r="F6" s="329" t="str">
        <f>IF($C6=0," ",IF(D6=0," ",IF(E6&gt;0.2,"ERRORE","OK")))</f>
        <v> </v>
      </c>
      <c r="G6" s="349">
        <f>'t13'!P6</f>
        <v>0</v>
      </c>
      <c r="H6" s="351" t="str">
        <f>IF($C6=0," ",IF(G6=0," ",G6/$C6))</f>
        <v> </v>
      </c>
      <c r="I6" s="329" t="str">
        <f>IF($C6=0," ",IF(G6=0," ",IF(H6&gt;0.2,"ERRORE","OK")))</f>
        <v> </v>
      </c>
      <c r="J6" s="370" t="str">
        <f>IF(OR(F6="ERRORE",I6="ERRORE"),"ERRORE","OK")</f>
        <v>OK</v>
      </c>
    </row>
    <row r="7" spans="1:10" ht="12.75">
      <c r="A7" s="141" t="str">
        <f>'t1'!A7</f>
        <v>DIRIGENTE I FASCIA A TEMPO DETERM.</v>
      </c>
      <c r="B7" s="324" t="str">
        <f>'t1'!B7</f>
        <v>0D0078</v>
      </c>
      <c r="C7" s="349">
        <f>'t13'!R7</f>
        <v>0</v>
      </c>
      <c r="D7" s="349">
        <f>'t13'!O7</f>
        <v>0</v>
      </c>
      <c r="E7" s="351" t="str">
        <f aca="true" t="shared" si="0" ref="E7:E22">IF($C7=0," ",IF(D7=0," ",D7/$C7))</f>
        <v> </v>
      </c>
      <c r="F7" s="329" t="str">
        <f aca="true" t="shared" si="1" ref="F7:F22">IF($C7=0," ",IF(D7=0," ",IF(E7&gt;0.2,"ERRORE","OK")))</f>
        <v> </v>
      </c>
      <c r="G7" s="349">
        <f>'t13'!P7</f>
        <v>0</v>
      </c>
      <c r="H7" s="351" t="str">
        <f aca="true" t="shared" si="2" ref="H7:H22">IF($C7=0," ",IF(G7=0," ",G7/$C7))</f>
        <v> </v>
      </c>
      <c r="I7" s="329" t="str">
        <f aca="true" t="shared" si="3" ref="I7:I22">IF($C7=0," ",IF(G7=0," ",IF(H7&gt;0.2,"ERRORE","OK")))</f>
        <v> </v>
      </c>
      <c r="J7" s="370" t="str">
        <f aca="true" t="shared" si="4" ref="J7:J22">IF(OR(F7="ERRORE",I7="ERRORE"),"ERRORE","OK")</f>
        <v>OK</v>
      </c>
    </row>
    <row r="8" spans="1:10" ht="12.75">
      <c r="A8" s="141" t="str">
        <f>'t1'!A8</f>
        <v>DIRIGENTE II FASCIA</v>
      </c>
      <c r="B8" s="324" t="str">
        <f>'t1'!B8</f>
        <v>0D0079</v>
      </c>
      <c r="C8" s="349">
        <f>'t13'!R8</f>
        <v>0</v>
      </c>
      <c r="D8" s="349">
        <f>'t13'!O8</f>
        <v>0</v>
      </c>
      <c r="E8" s="351" t="str">
        <f t="shared" si="0"/>
        <v> </v>
      </c>
      <c r="F8" s="329" t="str">
        <f t="shared" si="1"/>
        <v> </v>
      </c>
      <c r="G8" s="349">
        <f>'t13'!P8</f>
        <v>0</v>
      </c>
      <c r="H8" s="351" t="str">
        <f t="shared" si="2"/>
        <v> </v>
      </c>
      <c r="I8" s="329" t="str">
        <f t="shared" si="3"/>
        <v> </v>
      </c>
      <c r="J8" s="370" t="str">
        <f t="shared" si="4"/>
        <v>OK</v>
      </c>
    </row>
    <row r="9" spans="1:10" ht="12.75">
      <c r="A9" s="141" t="str">
        <f>'t1'!A9</f>
        <v>DIRIGENTE II FASCIA A TEMPO DETERM.</v>
      </c>
      <c r="B9" s="324" t="str">
        <f>'t1'!B9</f>
        <v>0D0080</v>
      </c>
      <c r="C9" s="349">
        <f>'t13'!R9</f>
        <v>0</v>
      </c>
      <c r="D9" s="349">
        <f>'t13'!O9</f>
        <v>0</v>
      </c>
      <c r="E9" s="351" t="str">
        <f t="shared" si="0"/>
        <v> </v>
      </c>
      <c r="F9" s="329" t="str">
        <f t="shared" si="1"/>
        <v> </v>
      </c>
      <c r="G9" s="349">
        <f>'t13'!P9</f>
        <v>0</v>
      </c>
      <c r="H9" s="351" t="str">
        <f t="shared" si="2"/>
        <v> </v>
      </c>
      <c r="I9" s="329" t="str">
        <f t="shared" si="3"/>
        <v> </v>
      </c>
      <c r="J9" s="370" t="str">
        <f t="shared" si="4"/>
        <v>OK</v>
      </c>
    </row>
    <row r="10" spans="1:10" ht="12.75">
      <c r="A10" s="141" t="str">
        <f>'t1'!A10</f>
        <v>POSIZIONE ECONOMICA C5</v>
      </c>
      <c r="B10" s="324" t="str">
        <f>'t1'!B10</f>
        <v>046000</v>
      </c>
      <c r="C10" s="349">
        <f>'t13'!R10</f>
        <v>0</v>
      </c>
      <c r="D10" s="349">
        <f>'t13'!O10</f>
        <v>0</v>
      </c>
      <c r="E10" s="351" t="str">
        <f t="shared" si="0"/>
        <v> </v>
      </c>
      <c r="F10" s="329" t="str">
        <f t="shared" si="1"/>
        <v> </v>
      </c>
      <c r="G10" s="349">
        <f>'t13'!P10</f>
        <v>0</v>
      </c>
      <c r="H10" s="351" t="str">
        <f t="shared" si="2"/>
        <v> </v>
      </c>
      <c r="I10" s="329" t="str">
        <f t="shared" si="3"/>
        <v> </v>
      </c>
      <c r="J10" s="370" t="str">
        <f t="shared" si="4"/>
        <v>OK</v>
      </c>
    </row>
    <row r="11" spans="1:10" ht="12.75">
      <c r="A11" s="141" t="str">
        <f>'t1'!A11</f>
        <v>POSIZIONE ECONOMICA C4</v>
      </c>
      <c r="B11" s="324" t="str">
        <f>'t1'!B11</f>
        <v>045000</v>
      </c>
      <c r="C11" s="349">
        <f>'t13'!R11</f>
        <v>0</v>
      </c>
      <c r="D11" s="349">
        <f>'t13'!O11</f>
        <v>0</v>
      </c>
      <c r="E11" s="351" t="str">
        <f t="shared" si="0"/>
        <v> </v>
      </c>
      <c r="F11" s="329" t="str">
        <f t="shared" si="1"/>
        <v> </v>
      </c>
      <c r="G11" s="349">
        <f>'t13'!P11</f>
        <v>0</v>
      </c>
      <c r="H11" s="351" t="str">
        <f t="shared" si="2"/>
        <v> </v>
      </c>
      <c r="I11" s="329" t="str">
        <f t="shared" si="3"/>
        <v> </v>
      </c>
      <c r="J11" s="370" t="str">
        <f t="shared" si="4"/>
        <v>OK</v>
      </c>
    </row>
    <row r="12" spans="1:10" ht="12.75">
      <c r="A12" s="141" t="str">
        <f>'t1'!A12</f>
        <v>POSIZIONE ECONOMICA C3</v>
      </c>
      <c r="B12" s="324" t="str">
        <f>'t1'!B12</f>
        <v>043000</v>
      </c>
      <c r="C12" s="349">
        <f>'t13'!R12</f>
        <v>0</v>
      </c>
      <c r="D12" s="349">
        <f>'t13'!O12</f>
        <v>0</v>
      </c>
      <c r="E12" s="351" t="str">
        <f t="shared" si="0"/>
        <v> </v>
      </c>
      <c r="F12" s="329" t="str">
        <f t="shared" si="1"/>
        <v> </v>
      </c>
      <c r="G12" s="349">
        <f>'t13'!P12</f>
        <v>0</v>
      </c>
      <c r="H12" s="351" t="str">
        <f t="shared" si="2"/>
        <v> </v>
      </c>
      <c r="I12" s="329" t="str">
        <f t="shared" si="3"/>
        <v> </v>
      </c>
      <c r="J12" s="370" t="str">
        <f t="shared" si="4"/>
        <v>OK</v>
      </c>
    </row>
    <row r="13" spans="1:10" ht="12.75">
      <c r="A13" s="141" t="str">
        <f>'t1'!A13</f>
        <v>POSIZIONE ECONOMICA C2</v>
      </c>
      <c r="B13" s="324" t="str">
        <f>'t1'!B13</f>
        <v>042000</v>
      </c>
      <c r="C13" s="349">
        <f>'t13'!R13</f>
        <v>0</v>
      </c>
      <c r="D13" s="349">
        <f>'t13'!O13</f>
        <v>0</v>
      </c>
      <c r="E13" s="351" t="str">
        <f t="shared" si="0"/>
        <v> </v>
      </c>
      <c r="F13" s="329" t="str">
        <f t="shared" si="1"/>
        <v> </v>
      </c>
      <c r="G13" s="349">
        <f>'t13'!P13</f>
        <v>0</v>
      </c>
      <c r="H13" s="351" t="str">
        <f t="shared" si="2"/>
        <v> </v>
      </c>
      <c r="I13" s="329" t="str">
        <f t="shared" si="3"/>
        <v> </v>
      </c>
      <c r="J13" s="370" t="str">
        <f t="shared" si="4"/>
        <v>OK</v>
      </c>
    </row>
    <row r="14" spans="1:10" ht="12.75">
      <c r="A14" s="141" t="str">
        <f>'t1'!A14</f>
        <v>POSIZIONE ECONOMICA C1</v>
      </c>
      <c r="B14" s="324" t="str">
        <f>'t1'!B14</f>
        <v>040000</v>
      </c>
      <c r="C14" s="349">
        <f>'t13'!R14</f>
        <v>0</v>
      </c>
      <c r="D14" s="349">
        <f>'t13'!O14</f>
        <v>0</v>
      </c>
      <c r="E14" s="351" t="str">
        <f t="shared" si="0"/>
        <v> </v>
      </c>
      <c r="F14" s="329" t="str">
        <f t="shared" si="1"/>
        <v> </v>
      </c>
      <c r="G14" s="349">
        <f>'t13'!P14</f>
        <v>0</v>
      </c>
      <c r="H14" s="351" t="str">
        <f t="shared" si="2"/>
        <v> </v>
      </c>
      <c r="I14" s="329" t="str">
        <f t="shared" si="3"/>
        <v> </v>
      </c>
      <c r="J14" s="370" t="str">
        <f t="shared" si="4"/>
        <v>OK</v>
      </c>
    </row>
    <row r="15" spans="1:10" ht="12.75">
      <c r="A15" s="141" t="str">
        <f>'t1'!A15</f>
        <v>POSIZIONE ECONOMICA B4</v>
      </c>
      <c r="B15" s="324" t="str">
        <f>'t1'!B15</f>
        <v>036000</v>
      </c>
      <c r="C15" s="349">
        <f>'t13'!R15</f>
        <v>0</v>
      </c>
      <c r="D15" s="349">
        <f>'t13'!O15</f>
        <v>0</v>
      </c>
      <c r="E15" s="351" t="str">
        <f t="shared" si="0"/>
        <v> </v>
      </c>
      <c r="F15" s="329" t="str">
        <f t="shared" si="1"/>
        <v> </v>
      </c>
      <c r="G15" s="349">
        <f>'t13'!P15</f>
        <v>0</v>
      </c>
      <c r="H15" s="351" t="str">
        <f t="shared" si="2"/>
        <v> </v>
      </c>
      <c r="I15" s="329" t="str">
        <f t="shared" si="3"/>
        <v> </v>
      </c>
      <c r="J15" s="370" t="str">
        <f t="shared" si="4"/>
        <v>OK</v>
      </c>
    </row>
    <row r="16" spans="1:10" ht="12.75">
      <c r="A16" s="141" t="str">
        <f>'t1'!A16</f>
        <v>POSIZIONE ECONOMICA B3</v>
      </c>
      <c r="B16" s="324" t="str">
        <f>'t1'!B16</f>
        <v>034000</v>
      </c>
      <c r="C16" s="349">
        <f>'t13'!R16</f>
        <v>0</v>
      </c>
      <c r="D16" s="349">
        <f>'t13'!O16</f>
        <v>0</v>
      </c>
      <c r="E16" s="351" t="str">
        <f t="shared" si="0"/>
        <v> </v>
      </c>
      <c r="F16" s="329" t="str">
        <f t="shared" si="1"/>
        <v> </v>
      </c>
      <c r="G16" s="349">
        <f>'t13'!P16</f>
        <v>0</v>
      </c>
      <c r="H16" s="351" t="str">
        <f t="shared" si="2"/>
        <v> </v>
      </c>
      <c r="I16" s="329" t="str">
        <f t="shared" si="3"/>
        <v> </v>
      </c>
      <c r="J16" s="370" t="str">
        <f t="shared" si="4"/>
        <v>OK</v>
      </c>
    </row>
    <row r="17" spans="1:10" ht="12.75">
      <c r="A17" s="141" t="str">
        <f>'t1'!A17</f>
        <v>POSIZIONE ECONOMICA B2</v>
      </c>
      <c r="B17" s="324" t="str">
        <f>'t1'!B17</f>
        <v>032000</v>
      </c>
      <c r="C17" s="349">
        <f>'t13'!R17</f>
        <v>0</v>
      </c>
      <c r="D17" s="349">
        <f>'t13'!O17</f>
        <v>0</v>
      </c>
      <c r="E17" s="351" t="str">
        <f t="shared" si="0"/>
        <v> </v>
      </c>
      <c r="F17" s="329" t="str">
        <f t="shared" si="1"/>
        <v> </v>
      </c>
      <c r="G17" s="349">
        <f>'t13'!P17</f>
        <v>0</v>
      </c>
      <c r="H17" s="351" t="str">
        <f t="shared" si="2"/>
        <v> </v>
      </c>
      <c r="I17" s="329" t="str">
        <f t="shared" si="3"/>
        <v> </v>
      </c>
      <c r="J17" s="370" t="str">
        <f t="shared" si="4"/>
        <v>OK</v>
      </c>
    </row>
    <row r="18" spans="1:10" ht="12.75">
      <c r="A18" s="141" t="str">
        <f>'t1'!A18</f>
        <v>POSIZIONE ECONOMICA B1</v>
      </c>
      <c r="B18" s="324" t="str">
        <f>'t1'!B18</f>
        <v>030000</v>
      </c>
      <c r="C18" s="349">
        <f>'t13'!R18</f>
        <v>0</v>
      </c>
      <c r="D18" s="349">
        <f>'t13'!O18</f>
        <v>0</v>
      </c>
      <c r="E18" s="351" t="str">
        <f t="shared" si="0"/>
        <v> </v>
      </c>
      <c r="F18" s="329" t="str">
        <f t="shared" si="1"/>
        <v> </v>
      </c>
      <c r="G18" s="349">
        <f>'t13'!P18</f>
        <v>0</v>
      </c>
      <c r="H18" s="351" t="str">
        <f t="shared" si="2"/>
        <v> </v>
      </c>
      <c r="I18" s="329" t="str">
        <f t="shared" si="3"/>
        <v> </v>
      </c>
      <c r="J18" s="370" t="str">
        <f t="shared" si="4"/>
        <v>OK</v>
      </c>
    </row>
    <row r="19" spans="1:10" ht="12.75">
      <c r="A19" s="141" t="str">
        <f>'t1'!A19</f>
        <v>POSIZIONE ECONOMICA A3</v>
      </c>
      <c r="B19" s="324" t="str">
        <f>'t1'!B19</f>
        <v>027000</v>
      </c>
      <c r="C19" s="349">
        <f>'t13'!R19</f>
        <v>0</v>
      </c>
      <c r="D19" s="349">
        <f>'t13'!O19</f>
        <v>0</v>
      </c>
      <c r="E19" s="351" t="str">
        <f t="shared" si="0"/>
        <v> </v>
      </c>
      <c r="F19" s="329" t="str">
        <f t="shared" si="1"/>
        <v> </v>
      </c>
      <c r="G19" s="349">
        <f>'t13'!P19</f>
        <v>0</v>
      </c>
      <c r="H19" s="351" t="str">
        <f t="shared" si="2"/>
        <v> </v>
      </c>
      <c r="I19" s="329" t="str">
        <f t="shared" si="3"/>
        <v> </v>
      </c>
      <c r="J19" s="370" t="str">
        <f t="shared" si="4"/>
        <v>OK</v>
      </c>
    </row>
    <row r="20" spans="1:10" ht="12.75">
      <c r="A20" s="141" t="str">
        <f>'t1'!A20</f>
        <v>POSIZIONE ECONOMICA A2</v>
      </c>
      <c r="B20" s="324" t="str">
        <f>'t1'!B20</f>
        <v>025000</v>
      </c>
      <c r="C20" s="349">
        <f>'t13'!R20</f>
        <v>0</v>
      </c>
      <c r="D20" s="349">
        <f>'t13'!O20</f>
        <v>0</v>
      </c>
      <c r="E20" s="351" t="str">
        <f t="shared" si="0"/>
        <v> </v>
      </c>
      <c r="F20" s="329" t="str">
        <f t="shared" si="1"/>
        <v> </v>
      </c>
      <c r="G20" s="349">
        <f>'t13'!P20</f>
        <v>0</v>
      </c>
      <c r="H20" s="351" t="str">
        <f t="shared" si="2"/>
        <v> </v>
      </c>
      <c r="I20" s="329" t="str">
        <f t="shared" si="3"/>
        <v> </v>
      </c>
      <c r="J20" s="370" t="str">
        <f t="shared" si="4"/>
        <v>OK</v>
      </c>
    </row>
    <row r="21" spans="1:10" ht="12.75">
      <c r="A21" s="141" t="str">
        <f>'t1'!A21</f>
        <v>POSIZIONE ECONOMICA A1</v>
      </c>
      <c r="B21" s="324" t="str">
        <f>'t1'!B21</f>
        <v>023000</v>
      </c>
      <c r="C21" s="349">
        <f>'t13'!R21</f>
        <v>0</v>
      </c>
      <c r="D21" s="349">
        <f>'t13'!O21</f>
        <v>0</v>
      </c>
      <c r="E21" s="351" t="str">
        <f t="shared" si="0"/>
        <v> </v>
      </c>
      <c r="F21" s="329" t="str">
        <f t="shared" si="1"/>
        <v> </v>
      </c>
      <c r="G21" s="349">
        <f>'t13'!P21</f>
        <v>0</v>
      </c>
      <c r="H21" s="351" t="str">
        <f t="shared" si="2"/>
        <v> </v>
      </c>
      <c r="I21" s="329" t="str">
        <f t="shared" si="3"/>
        <v> </v>
      </c>
      <c r="J21" s="370" t="str">
        <f t="shared" si="4"/>
        <v>OK</v>
      </c>
    </row>
    <row r="22" spans="1:10" ht="12.75">
      <c r="A22" s="141" t="str">
        <f>'t1'!A22</f>
        <v>CONTRATTISTI (a)</v>
      </c>
      <c r="B22" s="324" t="str">
        <f>'t1'!B22</f>
        <v>000061</v>
      </c>
      <c r="C22" s="349">
        <f>'t13'!R22</f>
        <v>0</v>
      </c>
      <c r="D22" s="349">
        <f>'t13'!O22</f>
        <v>0</v>
      </c>
      <c r="E22" s="351" t="str">
        <f t="shared" si="0"/>
        <v> </v>
      </c>
      <c r="F22" s="329" t="str">
        <f t="shared" si="1"/>
        <v> </v>
      </c>
      <c r="G22" s="349">
        <f>'t13'!P22</f>
        <v>0</v>
      </c>
      <c r="H22" s="351" t="str">
        <f t="shared" si="2"/>
        <v> </v>
      </c>
      <c r="I22" s="329" t="str">
        <f t="shared" si="3"/>
        <v> </v>
      </c>
      <c r="J22" s="370" t="str">
        <f t="shared" si="4"/>
        <v>OK</v>
      </c>
    </row>
  </sheetData>
  <sheetProtection password="EA98" sheet="1" formatColumns="0" selectLockedCells="1" selectUnlockedCells="1"/>
  <mergeCells count="2">
    <mergeCell ref="A1:J1"/>
    <mergeCell ref="D2:J2"/>
  </mergeCells>
  <printOptions horizontalCentered="1"/>
  <pageMargins left="0.2362204724409449" right="0.2362204724409449" top="0.1968503937007874" bottom="0.15748031496062992" header="0.15748031496062992" footer="0.15748031496062992"/>
  <pageSetup orientation="landscape" paperSize="9" scale="85" r:id="rId1"/>
</worksheet>
</file>

<file path=xl/worksheets/sheet37.xml><?xml version="1.0" encoding="utf-8"?>
<worksheet xmlns="http://schemas.openxmlformats.org/spreadsheetml/2006/main" xmlns:r="http://schemas.openxmlformats.org/officeDocument/2006/relationships">
  <sheetPr codeName="Foglio3"/>
  <dimension ref="A1:L11"/>
  <sheetViews>
    <sheetView zoomScalePageLayoutView="0" workbookViewId="0" topLeftCell="A1">
      <selection activeCell="A4" sqref="A4"/>
    </sheetView>
  </sheetViews>
  <sheetFormatPr defaultColWidth="9.33203125" defaultRowHeight="10.5"/>
  <cols>
    <col min="1" max="1" width="37.66015625" style="5" customWidth="1"/>
    <col min="2" max="2" width="8.5" style="7" hidden="1" customWidth="1"/>
    <col min="3" max="5" width="12.66015625" style="5" customWidth="1"/>
    <col min="6" max="6" width="1.66796875" style="3" customWidth="1"/>
    <col min="7" max="9" width="12.66015625" style="598" customWidth="1"/>
    <col min="10" max="10" width="1.66796875" style="0" customWidth="1"/>
    <col min="11" max="12" width="14.66015625" style="0" customWidth="1"/>
  </cols>
  <sheetData>
    <row r="1" spans="1:11" ht="32.25" customHeight="1">
      <c r="A1" s="1490" t="str">
        <f>'t1'!A1</f>
        <v>CNEL - anno 2018</v>
      </c>
      <c r="B1" s="1490"/>
      <c r="C1" s="1490"/>
      <c r="D1" s="1490"/>
      <c r="E1" s="1490"/>
      <c r="F1" s="1490"/>
      <c r="G1" s="1490"/>
      <c r="H1" s="1490"/>
      <c r="I1" s="1490"/>
      <c r="J1" s="1490"/>
      <c r="K1" s="1490"/>
    </row>
    <row r="2" spans="1:12" ht="42" customHeight="1" thickBot="1">
      <c r="A2" s="1491" t="s">
        <v>631</v>
      </c>
      <c r="B2" s="1491"/>
      <c r="C2" s="1491"/>
      <c r="D2" s="1491"/>
      <c r="E2" s="1491"/>
      <c r="F2" s="1491"/>
      <c r="G2" s="1491"/>
      <c r="H2" s="1491"/>
      <c r="I2" s="1491"/>
      <c r="J2" s="1491"/>
      <c r="K2" s="1491"/>
      <c r="L2" s="1491"/>
    </row>
    <row r="3" spans="1:12" ht="30" customHeight="1" thickBot="1">
      <c r="A3" s="847" t="s">
        <v>106</v>
      </c>
      <c r="B3" s="848" t="s">
        <v>74</v>
      </c>
      <c r="C3" s="1492" t="s">
        <v>632</v>
      </c>
      <c r="D3" s="1493"/>
      <c r="E3" s="1494"/>
      <c r="F3" s="849"/>
      <c r="G3" s="1495" t="s">
        <v>633</v>
      </c>
      <c r="H3" s="1496"/>
      <c r="I3" s="1497"/>
      <c r="K3" s="1495" t="s">
        <v>634</v>
      </c>
      <c r="L3" s="1497"/>
    </row>
    <row r="4" spans="1:12" ht="12.75">
      <c r="A4" s="850"/>
      <c r="B4" s="851"/>
      <c r="C4" s="852" t="s">
        <v>75</v>
      </c>
      <c r="D4" s="853" t="s">
        <v>76</v>
      </c>
      <c r="E4" s="854" t="s">
        <v>635</v>
      </c>
      <c r="F4" s="855"/>
      <c r="G4" s="852" t="s">
        <v>75</v>
      </c>
      <c r="H4" s="853" t="s">
        <v>76</v>
      </c>
      <c r="I4" s="854" t="s">
        <v>635</v>
      </c>
      <c r="J4" s="204"/>
      <c r="K4" s="852" t="s">
        <v>75</v>
      </c>
      <c r="L4" s="854" t="s">
        <v>76</v>
      </c>
    </row>
    <row r="5" spans="1:12" ht="12.75">
      <c r="A5" s="856"/>
      <c r="B5" s="857"/>
      <c r="C5" s="858" t="s">
        <v>202</v>
      </c>
      <c r="D5" s="685" t="s">
        <v>203</v>
      </c>
      <c r="E5" s="859" t="s">
        <v>204</v>
      </c>
      <c r="F5" s="860"/>
      <c r="G5" s="861" t="s">
        <v>205</v>
      </c>
      <c r="H5" s="685" t="s">
        <v>206</v>
      </c>
      <c r="I5" s="859" t="s">
        <v>226</v>
      </c>
      <c r="J5" s="118"/>
      <c r="K5" s="861" t="s">
        <v>636</v>
      </c>
      <c r="L5" s="859" t="s">
        <v>637</v>
      </c>
    </row>
    <row r="6" spans="1:12" ht="12.75">
      <c r="A6" s="862" t="str">
        <f>'t2'!A6</f>
        <v>AREA C</v>
      </c>
      <c r="B6" s="863" t="str">
        <f>'t2'!B6</f>
        <v>AC</v>
      </c>
      <c r="C6" s="864">
        <f>'t2'!C6</f>
        <v>0</v>
      </c>
      <c r="D6" s="865">
        <f>'t2'!D6</f>
        <v>0</v>
      </c>
      <c r="E6" s="866">
        <f>SUM(C6:D6)</f>
        <v>0</v>
      </c>
      <c r="F6" s="860"/>
      <c r="G6" s="867">
        <f>'t2A'!D12+'t2A'!F12+'t2A'!H12+'t2A'!J12+'t2A'!L12+'t2A'!N12+'t2A'!P12+'t2A'!R12</f>
        <v>0</v>
      </c>
      <c r="H6" s="868">
        <f>'t2A'!E12+'t2A'!G12+'t2A'!I12+'t2A'!K12+'t2A'!M12+'t2A'!O12+'t2A'!Q12+'t2A'!S12</f>
        <v>0</v>
      </c>
      <c r="I6" s="869">
        <f>SUM(G6:H6)</f>
        <v>0</v>
      </c>
      <c r="K6" s="870" t="str">
        <f aca="true" t="shared" si="0" ref="K6:L9">IF(C6&gt;0,IF(G6&gt;0,"OK","Manca T2A"),IF(C6=0,IF(G6=0,"OK","Manca T2"),"orrore"))</f>
        <v>OK</v>
      </c>
      <c r="L6" s="871" t="str">
        <f t="shared" si="0"/>
        <v>OK</v>
      </c>
    </row>
    <row r="7" spans="1:12" ht="12.75">
      <c r="A7" s="862" t="str">
        <f>'t2'!A7</f>
        <v>AREA B</v>
      </c>
      <c r="B7" s="863" t="str">
        <f>'t2'!B7</f>
        <v>AB</v>
      </c>
      <c r="C7" s="864">
        <f>'t2'!C7</f>
        <v>0</v>
      </c>
      <c r="D7" s="865">
        <f>'t2'!D7</f>
        <v>0</v>
      </c>
      <c r="E7" s="866">
        <f>SUM(C7:D7)</f>
        <v>0</v>
      </c>
      <c r="F7" s="860"/>
      <c r="G7" s="867">
        <f>'t2A'!D13+'t2A'!F13+'t2A'!H13+'t2A'!J13+'t2A'!L13+'t2A'!N13+'t2A'!P13+'t2A'!R13</f>
        <v>0</v>
      </c>
      <c r="H7" s="868">
        <f>'t2A'!E13+'t2A'!G13+'t2A'!I13+'t2A'!K13+'t2A'!M13+'t2A'!O13+'t2A'!Q13+'t2A'!S13</f>
        <v>0</v>
      </c>
      <c r="I7" s="869">
        <f>SUM(G7:H7)</f>
        <v>0</v>
      </c>
      <c r="K7" s="870" t="str">
        <f t="shared" si="0"/>
        <v>OK</v>
      </c>
      <c r="L7" s="871" t="str">
        <f t="shared" si="0"/>
        <v>OK</v>
      </c>
    </row>
    <row r="8" spans="1:12" ht="12.75">
      <c r="A8" s="862" t="str">
        <f>'t2'!A8</f>
        <v>AREA A</v>
      </c>
      <c r="B8" s="863" t="str">
        <f>'t2'!B8</f>
        <v>AA</v>
      </c>
      <c r="C8" s="864">
        <f>'t2'!C8</f>
        <v>0</v>
      </c>
      <c r="D8" s="865">
        <f>'t2'!D8</f>
        <v>0</v>
      </c>
      <c r="E8" s="866">
        <f>SUM(C8:D8)</f>
        <v>0</v>
      </c>
      <c r="F8" s="860"/>
      <c r="G8" s="867">
        <f>'t2A'!D14+'t2A'!F14+'t2A'!H14+'t2A'!J14+'t2A'!L14+'t2A'!N14+'t2A'!P14+'t2A'!R14</f>
        <v>0</v>
      </c>
      <c r="H8" s="868">
        <f>'t2A'!E14+'t2A'!G14+'t2A'!I14+'t2A'!K14+'t2A'!M14+'t2A'!O14+'t2A'!Q14+'t2A'!S14</f>
        <v>0</v>
      </c>
      <c r="I8" s="869">
        <f>SUM(G8:H8)</f>
        <v>0</v>
      </c>
      <c r="K8" s="870" t="str">
        <f t="shared" si="0"/>
        <v>OK</v>
      </c>
      <c r="L8" s="871" t="str">
        <f t="shared" si="0"/>
        <v>OK</v>
      </c>
    </row>
    <row r="9" spans="1:12" ht="13.5" thickBot="1">
      <c r="A9" s="862" t="str">
        <f>'t2'!A9</f>
        <v>PERSONALE CONTRATTISTA</v>
      </c>
      <c r="B9" s="863" t="str">
        <f>'t2'!B9</f>
        <v>PC</v>
      </c>
      <c r="C9" s="864">
        <f>'t2'!C9</f>
        <v>0</v>
      </c>
      <c r="D9" s="865">
        <f>'t2'!D9</f>
        <v>0</v>
      </c>
      <c r="E9" s="866">
        <f>SUM(C9:D9)</f>
        <v>0</v>
      </c>
      <c r="F9" s="860"/>
      <c r="G9" s="867">
        <f>'t2A'!D15+'t2A'!F15+'t2A'!H15+'t2A'!J15+'t2A'!L15+'t2A'!N15+'t2A'!P15+'t2A'!R15</f>
        <v>0</v>
      </c>
      <c r="H9" s="868">
        <f>'t2A'!E15+'t2A'!G15+'t2A'!I15+'t2A'!K15+'t2A'!M15+'t2A'!O15+'t2A'!Q15+'t2A'!S15</f>
        <v>0</v>
      </c>
      <c r="I9" s="869">
        <f>SUM(G9:H9)</f>
        <v>0</v>
      </c>
      <c r="K9" s="880" t="str">
        <f t="shared" si="0"/>
        <v>OK</v>
      </c>
      <c r="L9" s="881" t="str">
        <f t="shared" si="0"/>
        <v>OK</v>
      </c>
    </row>
    <row r="10" spans="1:12" ht="13.5" thickBot="1">
      <c r="A10" s="872" t="s">
        <v>77</v>
      </c>
      <c r="B10" s="873"/>
      <c r="C10" s="874">
        <f>SUM(C6:C9)</f>
        <v>0</v>
      </c>
      <c r="D10" s="875">
        <f>SUM(D6:D9)</f>
        <v>0</v>
      </c>
      <c r="E10" s="876">
        <f>SUM(C10:D10)</f>
        <v>0</v>
      </c>
      <c r="G10" s="877">
        <f>SUM(G6:G9)</f>
        <v>0</v>
      </c>
      <c r="H10" s="878">
        <f>SUM(H6:H9)</f>
        <v>0</v>
      </c>
      <c r="I10" s="879">
        <f>SUM(G10:H10)</f>
        <v>0</v>
      </c>
      <c r="K10" s="882" t="str">
        <f>IF(COUNTIF(K6:K9,"OK")=4,"OK","Errore")</f>
        <v>OK</v>
      </c>
      <c r="L10" s="883" t="str">
        <f>IF(COUNTIF(L6:L9,"OK")=4,"OK","Errore")</f>
        <v>OK</v>
      </c>
    </row>
    <row r="11" spans="1:2" ht="9.75">
      <c r="A11" s="8"/>
      <c r="B11" s="9"/>
    </row>
  </sheetData>
  <sheetProtection password="EA98" sheet="1" formatColumns="0" selectLockedCells="1" selectUnlockedCells="1"/>
  <mergeCells count="5">
    <mergeCell ref="A1:K1"/>
    <mergeCell ref="A2:L2"/>
    <mergeCell ref="C3:E3"/>
    <mergeCell ref="G3:I3"/>
    <mergeCell ref="K3:L3"/>
  </mergeCells>
  <dataValidations count="1">
    <dataValidation type="whole" allowBlank="1" showInputMessage="1" showErrorMessage="1" errorTitle="ERRORE" error="INSERIRE SOLO NUMERI INTERI COMPRESI TRA 0 E 9999999" sqref="G6:H10">
      <formula1>0</formula1>
      <formula2>9999999</formula2>
    </dataValidation>
  </dataValidations>
  <printOptions/>
  <pageMargins left="0.7" right="0.7" top="0.75" bottom="0.75" header="0.3" footer="0.3"/>
  <pageSetup horizontalDpi="600" verticalDpi="600" orientation="landscape" paperSize="9" r:id="rId1"/>
</worksheet>
</file>

<file path=xl/worksheets/sheet38.xml><?xml version="1.0" encoding="utf-8"?>
<worksheet xmlns="http://schemas.openxmlformats.org/spreadsheetml/2006/main" xmlns:r="http://schemas.openxmlformats.org/officeDocument/2006/relationships">
  <sheetPr codeName="Foglio44">
    <pageSetUpPr fitToPage="1"/>
  </sheetPr>
  <dimension ref="A1:K22"/>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A2" sqref="A2"/>
    </sheetView>
  </sheetViews>
  <sheetFormatPr defaultColWidth="9.33203125" defaultRowHeight="10.5"/>
  <cols>
    <col min="1" max="1" width="41.5" style="5" customWidth="1"/>
    <col min="2" max="2" width="10" style="7" customWidth="1"/>
    <col min="3" max="3" width="11.83203125" style="7" customWidth="1"/>
    <col min="4" max="5" width="14" style="7" customWidth="1"/>
    <col min="6" max="6" width="11.83203125" style="7" customWidth="1"/>
    <col min="7" max="7" width="13.83203125" style="7" customWidth="1"/>
    <col min="8" max="8" width="16.83203125" style="7" hidden="1" customWidth="1"/>
    <col min="9" max="9" width="63.33203125" style="0" customWidth="1"/>
  </cols>
  <sheetData>
    <row r="1" spans="1:11" s="5" customFormat="1" ht="43.5" customHeight="1">
      <c r="A1" s="1349" t="str">
        <f>'t1'!A1</f>
        <v>CNEL - anno 2018</v>
      </c>
      <c r="B1" s="1349"/>
      <c r="C1" s="1349"/>
      <c r="D1" s="1349"/>
      <c r="E1" s="1349"/>
      <c r="F1" s="1349"/>
      <c r="G1" s="1349"/>
      <c r="H1" s="1349"/>
      <c r="I1" s="1349"/>
      <c r="K1"/>
    </row>
    <row r="2" spans="4:11" s="5" customFormat="1" ht="12.75" customHeight="1">
      <c r="D2" s="1439"/>
      <c r="E2" s="1439"/>
      <c r="F2" s="1439"/>
      <c r="G2" s="1439"/>
      <c r="H2" s="638"/>
      <c r="I2" s="3"/>
      <c r="K2"/>
    </row>
    <row r="3" spans="1:9" s="5" customFormat="1" ht="43.5" customHeight="1">
      <c r="A3" s="1498" t="s">
        <v>668</v>
      </c>
      <c r="B3" s="1498"/>
      <c r="C3" s="1498"/>
      <c r="D3" s="1498"/>
      <c r="E3" s="1498"/>
      <c r="F3" s="1498"/>
      <c r="G3" s="1498"/>
      <c r="H3" s="1498"/>
      <c r="I3" s="1498"/>
    </row>
    <row r="4" spans="1:9" ht="60.75">
      <c r="A4" s="639" t="s">
        <v>238</v>
      </c>
      <c r="B4" s="640" t="s">
        <v>200</v>
      </c>
      <c r="C4" s="642" t="s">
        <v>43</v>
      </c>
      <c r="D4" s="642" t="s">
        <v>669</v>
      </c>
      <c r="E4" s="642" t="s">
        <v>670</v>
      </c>
      <c r="F4" s="642" t="s">
        <v>45</v>
      </c>
      <c r="G4" s="642" t="s">
        <v>671</v>
      </c>
      <c r="H4" s="642" t="s">
        <v>446</v>
      </c>
      <c r="I4" s="642" t="s">
        <v>431</v>
      </c>
    </row>
    <row r="5" spans="1:9" s="204" customFormat="1" ht="40.5" hidden="1">
      <c r="A5" s="185"/>
      <c r="B5" s="198"/>
      <c r="C5" s="198" t="s">
        <v>202</v>
      </c>
      <c r="D5" s="202"/>
      <c r="E5" s="202"/>
      <c r="F5" s="202" t="s">
        <v>204</v>
      </c>
      <c r="G5" s="202"/>
      <c r="H5" s="685" t="s">
        <v>447</v>
      </c>
      <c r="I5" s="687"/>
    </row>
    <row r="6" spans="1:9" s="118" customFormat="1" ht="12.75">
      <c r="A6" s="141" t="str">
        <f>'t1'!A6</f>
        <v>DIRIGENTE I FASCIA</v>
      </c>
      <c r="B6" s="324" t="str">
        <f>'t1'!B6</f>
        <v>0D0077</v>
      </c>
      <c r="C6" s="970">
        <f>'t11'!U8+'t11'!V8</f>
        <v>0</v>
      </c>
      <c r="D6" s="970">
        <f>(C6-'t11'!Q8-'t11'!R8-'t11'!S8-'t11'!T8)</f>
        <v>0</v>
      </c>
      <c r="E6" s="971">
        <f>'t12'!C6/12</f>
        <v>0</v>
      </c>
      <c r="F6" s="970">
        <f>'t3'!M6+'t3'!N6+'t3'!O6+'t3'!P6+'t3'!Q6+'t3'!R6</f>
        <v>0</v>
      </c>
      <c r="G6" s="370" t="str">
        <f aca="true" t="shared" si="0" ref="G6:G22">IF(H6="OK","OK","ERRORE")</f>
        <v>OK</v>
      </c>
      <c r="H6" s="370" t="str">
        <f aca="true" t="shared" si="1" ref="H6:H22">IF(((E6+F6)*273)&lt;(D6),"KO","OK")</f>
        <v>OK</v>
      </c>
      <c r="I6" s="688">
        <f>IF(H6="KO",($H$5&amp;(('t12'!C6/12*273)+(('t3'!M6+'t3'!N6+'t3'!O6+'t3'!P6+'t3'!Q6+'t3'!R6)*273))&amp;")"),"")</f>
      </c>
    </row>
    <row r="7" spans="1:9" ht="12.75">
      <c r="A7" s="141" t="str">
        <f>'t1'!A7</f>
        <v>DIRIGENTE I FASCIA A TEMPO DETERM.</v>
      </c>
      <c r="B7" s="324" t="str">
        <f>'t1'!B7</f>
        <v>0D0078</v>
      </c>
      <c r="C7" s="970">
        <f>'t11'!U9+'t11'!V9</f>
        <v>0</v>
      </c>
      <c r="D7" s="970">
        <f>(C7-'t11'!Q9-'t11'!R9-'t11'!S9-'t11'!T9)</f>
        <v>0</v>
      </c>
      <c r="E7" s="971">
        <f>'t12'!C7/12</f>
        <v>0</v>
      </c>
      <c r="F7" s="970">
        <f>'t3'!M7+'t3'!N7+'t3'!O7+'t3'!P7+'t3'!Q7+'t3'!R7</f>
        <v>0</v>
      </c>
      <c r="G7" s="370" t="str">
        <f t="shared" si="0"/>
        <v>OK</v>
      </c>
      <c r="H7" s="370" t="str">
        <f t="shared" si="1"/>
        <v>OK</v>
      </c>
      <c r="I7" s="688">
        <f>IF(H7="KO",($H$5&amp;(('t12'!C7/12*273)+(('t3'!M7+'t3'!N7+'t3'!O7+'t3'!P7+'t3'!Q7+'t3'!R7)*273))&amp;")"),"")</f>
      </c>
    </row>
    <row r="8" spans="1:9" ht="12.75">
      <c r="A8" s="141" t="str">
        <f>'t1'!A8</f>
        <v>DIRIGENTE II FASCIA</v>
      </c>
      <c r="B8" s="324" t="str">
        <f>'t1'!B8</f>
        <v>0D0079</v>
      </c>
      <c r="C8" s="970">
        <f>'t11'!U10+'t11'!V10</f>
        <v>0</v>
      </c>
      <c r="D8" s="970">
        <f>(C8-'t11'!Q10-'t11'!R10-'t11'!S10-'t11'!T10)</f>
        <v>0</v>
      </c>
      <c r="E8" s="971">
        <f>'t12'!C8/12</f>
        <v>0</v>
      </c>
      <c r="F8" s="970">
        <f>'t3'!M8+'t3'!N8+'t3'!O8+'t3'!P8+'t3'!Q8+'t3'!R8</f>
        <v>0</v>
      </c>
      <c r="G8" s="370" t="str">
        <f t="shared" si="0"/>
        <v>OK</v>
      </c>
      <c r="H8" s="370" t="str">
        <f t="shared" si="1"/>
        <v>OK</v>
      </c>
      <c r="I8" s="688">
        <f>IF(H8="KO",($H$5&amp;(('t12'!C8/12*273)+(('t3'!M8+'t3'!N8+'t3'!O8+'t3'!P8+'t3'!Q8+'t3'!R8)*273))&amp;")"),"")</f>
      </c>
    </row>
    <row r="9" spans="1:9" ht="12.75">
      <c r="A9" s="141" t="str">
        <f>'t1'!A9</f>
        <v>DIRIGENTE II FASCIA A TEMPO DETERM.</v>
      </c>
      <c r="B9" s="324" t="str">
        <f>'t1'!B9</f>
        <v>0D0080</v>
      </c>
      <c r="C9" s="970">
        <f>'t11'!U11+'t11'!V11</f>
        <v>0</v>
      </c>
      <c r="D9" s="970">
        <f>(C9-'t11'!Q11-'t11'!R11-'t11'!S11-'t11'!T11)</f>
        <v>0</v>
      </c>
      <c r="E9" s="971">
        <f>'t12'!C9/12</f>
        <v>0</v>
      </c>
      <c r="F9" s="970">
        <f>'t3'!M9+'t3'!N9+'t3'!O9+'t3'!P9+'t3'!Q9+'t3'!R9</f>
        <v>0</v>
      </c>
      <c r="G9" s="370" t="str">
        <f t="shared" si="0"/>
        <v>OK</v>
      </c>
      <c r="H9" s="370" t="str">
        <f t="shared" si="1"/>
        <v>OK</v>
      </c>
      <c r="I9" s="688">
        <f>IF(H9="KO",($H$5&amp;(('t12'!C9/12*273)+(('t3'!M9+'t3'!N9+'t3'!O9+'t3'!P9+'t3'!Q9+'t3'!R9)*273))&amp;")"),"")</f>
      </c>
    </row>
    <row r="10" spans="1:9" ht="12.75">
      <c r="A10" s="141" t="str">
        <f>'t1'!A10</f>
        <v>POSIZIONE ECONOMICA C5</v>
      </c>
      <c r="B10" s="324" t="str">
        <f>'t1'!B10</f>
        <v>046000</v>
      </c>
      <c r="C10" s="970">
        <f>'t11'!U12+'t11'!V12</f>
        <v>0</v>
      </c>
      <c r="D10" s="970">
        <f>(C10-'t11'!Q12-'t11'!R12-'t11'!S12-'t11'!T12)</f>
        <v>0</v>
      </c>
      <c r="E10" s="971">
        <f>'t12'!C10/12</f>
        <v>0</v>
      </c>
      <c r="F10" s="970">
        <f>'t3'!M10+'t3'!N10+'t3'!O10+'t3'!P10+'t3'!Q10+'t3'!R10</f>
        <v>0</v>
      </c>
      <c r="G10" s="370" t="str">
        <f t="shared" si="0"/>
        <v>OK</v>
      </c>
      <c r="H10" s="370" t="str">
        <f t="shared" si="1"/>
        <v>OK</v>
      </c>
      <c r="I10" s="688">
        <f>IF(H10="KO",($H$5&amp;(('t12'!C10/12*273)+(('t3'!M10+'t3'!N10+'t3'!O10+'t3'!P10+'t3'!Q10+'t3'!R10)*273))&amp;")"),"")</f>
      </c>
    </row>
    <row r="11" spans="1:9" ht="12.75">
      <c r="A11" s="141" t="str">
        <f>'t1'!A11</f>
        <v>POSIZIONE ECONOMICA C4</v>
      </c>
      <c r="B11" s="324" t="str">
        <f>'t1'!B11</f>
        <v>045000</v>
      </c>
      <c r="C11" s="970">
        <f>'t11'!U13+'t11'!V13</f>
        <v>0</v>
      </c>
      <c r="D11" s="970">
        <f>(C11-'t11'!Q13-'t11'!R13-'t11'!S13-'t11'!T13)</f>
        <v>0</v>
      </c>
      <c r="E11" s="971">
        <f>'t12'!C11/12</f>
        <v>0</v>
      </c>
      <c r="F11" s="970">
        <f>'t3'!M11+'t3'!N11+'t3'!O11+'t3'!P11+'t3'!Q11+'t3'!R11</f>
        <v>0</v>
      </c>
      <c r="G11" s="370" t="str">
        <f t="shared" si="0"/>
        <v>OK</v>
      </c>
      <c r="H11" s="370" t="str">
        <f t="shared" si="1"/>
        <v>OK</v>
      </c>
      <c r="I11" s="688">
        <f>IF(H11="KO",($H$5&amp;(('t12'!C11/12*273)+(('t3'!M11+'t3'!N11+'t3'!O11+'t3'!P11+'t3'!Q11+'t3'!R11)*273))&amp;")"),"")</f>
      </c>
    </row>
    <row r="12" spans="1:9" ht="12.75">
      <c r="A12" s="141" t="str">
        <f>'t1'!A12</f>
        <v>POSIZIONE ECONOMICA C3</v>
      </c>
      <c r="B12" s="324" t="str">
        <f>'t1'!B12</f>
        <v>043000</v>
      </c>
      <c r="C12" s="970">
        <f>'t11'!U14+'t11'!V14</f>
        <v>0</v>
      </c>
      <c r="D12" s="970">
        <f>(C12-'t11'!Q14-'t11'!R14-'t11'!S14-'t11'!T14)</f>
        <v>0</v>
      </c>
      <c r="E12" s="971">
        <f>'t12'!C12/12</f>
        <v>0</v>
      </c>
      <c r="F12" s="970">
        <f>'t3'!M12+'t3'!N12+'t3'!O12+'t3'!P12+'t3'!Q12+'t3'!R12</f>
        <v>0</v>
      </c>
      <c r="G12" s="370" t="str">
        <f t="shared" si="0"/>
        <v>OK</v>
      </c>
      <c r="H12" s="370" t="str">
        <f t="shared" si="1"/>
        <v>OK</v>
      </c>
      <c r="I12" s="688">
        <f>IF(H12="KO",($H$5&amp;(('t12'!C12/12*273)+(('t3'!M12+'t3'!N12+'t3'!O12+'t3'!P12+'t3'!Q12+'t3'!R12)*273))&amp;")"),"")</f>
      </c>
    </row>
    <row r="13" spans="1:9" ht="12.75">
      <c r="A13" s="141" t="str">
        <f>'t1'!A13</f>
        <v>POSIZIONE ECONOMICA C2</v>
      </c>
      <c r="B13" s="324" t="str">
        <f>'t1'!B13</f>
        <v>042000</v>
      </c>
      <c r="C13" s="970">
        <f>'t11'!U15+'t11'!V15</f>
        <v>0</v>
      </c>
      <c r="D13" s="970">
        <f>(C13-'t11'!Q15-'t11'!R15-'t11'!S15-'t11'!T15)</f>
        <v>0</v>
      </c>
      <c r="E13" s="971">
        <f>'t12'!C13/12</f>
        <v>0</v>
      </c>
      <c r="F13" s="970">
        <f>'t3'!M13+'t3'!N13+'t3'!O13+'t3'!P13+'t3'!Q13+'t3'!R13</f>
        <v>0</v>
      </c>
      <c r="G13" s="370" t="str">
        <f t="shared" si="0"/>
        <v>OK</v>
      </c>
      <c r="H13" s="370" t="str">
        <f t="shared" si="1"/>
        <v>OK</v>
      </c>
      <c r="I13" s="688">
        <f>IF(H13="KO",($H$5&amp;(('t12'!C13/12*273)+(('t3'!M13+'t3'!N13+'t3'!O13+'t3'!P13+'t3'!Q13+'t3'!R13)*273))&amp;")"),"")</f>
      </c>
    </row>
    <row r="14" spans="1:9" ht="12.75">
      <c r="A14" s="141" t="str">
        <f>'t1'!A14</f>
        <v>POSIZIONE ECONOMICA C1</v>
      </c>
      <c r="B14" s="324" t="str">
        <f>'t1'!B14</f>
        <v>040000</v>
      </c>
      <c r="C14" s="970">
        <f>'t11'!U16+'t11'!V16</f>
        <v>0</v>
      </c>
      <c r="D14" s="970">
        <f>(C14-'t11'!Q16-'t11'!R16-'t11'!S16-'t11'!T16)</f>
        <v>0</v>
      </c>
      <c r="E14" s="971">
        <f>'t12'!C14/12</f>
        <v>0</v>
      </c>
      <c r="F14" s="970">
        <f>'t3'!M14+'t3'!N14+'t3'!O14+'t3'!P14+'t3'!Q14+'t3'!R14</f>
        <v>0</v>
      </c>
      <c r="G14" s="370" t="str">
        <f t="shared" si="0"/>
        <v>OK</v>
      </c>
      <c r="H14" s="370" t="str">
        <f t="shared" si="1"/>
        <v>OK</v>
      </c>
      <c r="I14" s="688">
        <f>IF(H14="KO",($H$5&amp;(('t12'!C14/12*273)+(('t3'!M14+'t3'!N14+'t3'!O14+'t3'!P14+'t3'!Q14+'t3'!R14)*273))&amp;")"),"")</f>
      </c>
    </row>
    <row r="15" spans="1:9" ht="12.75">
      <c r="A15" s="141" t="str">
        <f>'t1'!A15</f>
        <v>POSIZIONE ECONOMICA B4</v>
      </c>
      <c r="B15" s="324" t="str">
        <f>'t1'!B15</f>
        <v>036000</v>
      </c>
      <c r="C15" s="970">
        <f>'t11'!U17+'t11'!V17</f>
        <v>0</v>
      </c>
      <c r="D15" s="970">
        <f>(C15-'t11'!Q17-'t11'!R17-'t11'!S17-'t11'!T17)</f>
        <v>0</v>
      </c>
      <c r="E15" s="971">
        <f>'t12'!C15/12</f>
        <v>0</v>
      </c>
      <c r="F15" s="970">
        <f>'t3'!M15+'t3'!N15+'t3'!O15+'t3'!P15+'t3'!Q15+'t3'!R15</f>
        <v>0</v>
      </c>
      <c r="G15" s="370" t="str">
        <f t="shared" si="0"/>
        <v>OK</v>
      </c>
      <c r="H15" s="370" t="str">
        <f t="shared" si="1"/>
        <v>OK</v>
      </c>
      <c r="I15" s="688">
        <f>IF(H15="KO",($H$5&amp;(('t12'!C15/12*273)+(('t3'!M15+'t3'!N15+'t3'!O15+'t3'!P15+'t3'!Q15+'t3'!R15)*273))&amp;")"),"")</f>
      </c>
    </row>
    <row r="16" spans="1:9" ht="12.75">
      <c r="A16" s="141" t="str">
        <f>'t1'!A16</f>
        <v>POSIZIONE ECONOMICA B3</v>
      </c>
      <c r="B16" s="324" t="str">
        <f>'t1'!B16</f>
        <v>034000</v>
      </c>
      <c r="C16" s="970">
        <f>'t11'!U18+'t11'!V18</f>
        <v>0</v>
      </c>
      <c r="D16" s="970">
        <f>(C16-'t11'!Q18-'t11'!R18-'t11'!S18-'t11'!T18)</f>
        <v>0</v>
      </c>
      <c r="E16" s="971">
        <f>'t12'!C16/12</f>
        <v>0</v>
      </c>
      <c r="F16" s="970">
        <f>'t3'!M16+'t3'!N16+'t3'!O16+'t3'!P16+'t3'!Q16+'t3'!R16</f>
        <v>0</v>
      </c>
      <c r="G16" s="370" t="str">
        <f t="shared" si="0"/>
        <v>OK</v>
      </c>
      <c r="H16" s="370" t="str">
        <f t="shared" si="1"/>
        <v>OK</v>
      </c>
      <c r="I16" s="688">
        <f>IF(H16="KO",($H$5&amp;(('t12'!C16/12*273)+(('t3'!M16+'t3'!N16+'t3'!O16+'t3'!P16+'t3'!Q16+'t3'!R16)*273))&amp;")"),"")</f>
      </c>
    </row>
    <row r="17" spans="1:9" ht="12.75">
      <c r="A17" s="141" t="str">
        <f>'t1'!A17</f>
        <v>POSIZIONE ECONOMICA B2</v>
      </c>
      <c r="B17" s="324" t="str">
        <f>'t1'!B17</f>
        <v>032000</v>
      </c>
      <c r="C17" s="970">
        <f>'t11'!U19+'t11'!V19</f>
        <v>0</v>
      </c>
      <c r="D17" s="970">
        <f>(C17-'t11'!Q19-'t11'!R19-'t11'!S19-'t11'!T19)</f>
        <v>0</v>
      </c>
      <c r="E17" s="971">
        <f>'t12'!C17/12</f>
        <v>0</v>
      </c>
      <c r="F17" s="970">
        <f>'t3'!M17+'t3'!N17+'t3'!O17+'t3'!P17+'t3'!Q17+'t3'!R17</f>
        <v>0</v>
      </c>
      <c r="G17" s="370" t="str">
        <f t="shared" si="0"/>
        <v>OK</v>
      </c>
      <c r="H17" s="370" t="str">
        <f t="shared" si="1"/>
        <v>OK</v>
      </c>
      <c r="I17" s="688">
        <f>IF(H17="KO",($H$5&amp;(('t12'!C17/12*273)+(('t3'!M17+'t3'!N17+'t3'!O17+'t3'!P17+'t3'!Q17+'t3'!R17)*273))&amp;")"),"")</f>
      </c>
    </row>
    <row r="18" spans="1:9" ht="12.75">
      <c r="A18" s="141" t="str">
        <f>'t1'!A18</f>
        <v>POSIZIONE ECONOMICA B1</v>
      </c>
      <c r="B18" s="324" t="str">
        <f>'t1'!B18</f>
        <v>030000</v>
      </c>
      <c r="C18" s="970">
        <f>'t11'!U20+'t11'!V20</f>
        <v>0</v>
      </c>
      <c r="D18" s="970">
        <f>(C18-'t11'!Q20-'t11'!R20-'t11'!S20-'t11'!T20)</f>
        <v>0</v>
      </c>
      <c r="E18" s="971">
        <f>'t12'!C18/12</f>
        <v>0</v>
      </c>
      <c r="F18" s="970">
        <f>'t3'!M18+'t3'!N18+'t3'!O18+'t3'!P18+'t3'!Q18+'t3'!R18</f>
        <v>0</v>
      </c>
      <c r="G18" s="370" t="str">
        <f t="shared" si="0"/>
        <v>OK</v>
      </c>
      <c r="H18" s="370" t="str">
        <f t="shared" si="1"/>
        <v>OK</v>
      </c>
      <c r="I18" s="688">
        <f>IF(H18="KO",($H$5&amp;(('t12'!C18/12*273)+(('t3'!M18+'t3'!N18+'t3'!O18+'t3'!P18+'t3'!Q18+'t3'!R18)*273))&amp;")"),"")</f>
      </c>
    </row>
    <row r="19" spans="1:9" ht="12.75">
      <c r="A19" s="141" t="str">
        <f>'t1'!A19</f>
        <v>POSIZIONE ECONOMICA A3</v>
      </c>
      <c r="B19" s="324" t="str">
        <f>'t1'!B19</f>
        <v>027000</v>
      </c>
      <c r="C19" s="970">
        <f>'t11'!U21+'t11'!V21</f>
        <v>0</v>
      </c>
      <c r="D19" s="970">
        <f>(C19-'t11'!Q21-'t11'!R21-'t11'!S21-'t11'!T21)</f>
        <v>0</v>
      </c>
      <c r="E19" s="971">
        <f>'t12'!C19/12</f>
        <v>0</v>
      </c>
      <c r="F19" s="970">
        <f>'t3'!M19+'t3'!N19+'t3'!O19+'t3'!P19+'t3'!Q19+'t3'!R19</f>
        <v>0</v>
      </c>
      <c r="G19" s="370" t="str">
        <f t="shared" si="0"/>
        <v>OK</v>
      </c>
      <c r="H19" s="370" t="str">
        <f t="shared" si="1"/>
        <v>OK</v>
      </c>
      <c r="I19" s="688">
        <f>IF(H19="KO",($H$5&amp;(('t12'!C19/12*273)+(('t3'!M19+'t3'!N19+'t3'!O19+'t3'!P19+'t3'!Q19+'t3'!R19)*273))&amp;")"),"")</f>
      </c>
    </row>
    <row r="20" spans="1:9" ht="12.75">
      <c r="A20" s="141" t="str">
        <f>'t1'!A20</f>
        <v>POSIZIONE ECONOMICA A2</v>
      </c>
      <c r="B20" s="324" t="str">
        <f>'t1'!B20</f>
        <v>025000</v>
      </c>
      <c r="C20" s="970">
        <f>'t11'!U22+'t11'!V22</f>
        <v>0</v>
      </c>
      <c r="D20" s="970">
        <f>(C20-'t11'!Q22-'t11'!R22-'t11'!S22-'t11'!T22)</f>
        <v>0</v>
      </c>
      <c r="E20" s="971">
        <f>'t12'!C20/12</f>
        <v>0</v>
      </c>
      <c r="F20" s="970">
        <f>'t3'!M20+'t3'!N20+'t3'!O20+'t3'!P20+'t3'!Q20+'t3'!R20</f>
        <v>0</v>
      </c>
      <c r="G20" s="370" t="str">
        <f t="shared" si="0"/>
        <v>OK</v>
      </c>
      <c r="H20" s="370" t="str">
        <f t="shared" si="1"/>
        <v>OK</v>
      </c>
      <c r="I20" s="688">
        <f>IF(H20="KO",($H$5&amp;(('t12'!C20/12*273)+(('t3'!M20+'t3'!N20+'t3'!O20+'t3'!P20+'t3'!Q20+'t3'!R20)*273))&amp;")"),"")</f>
      </c>
    </row>
    <row r="21" spans="1:9" ht="12.75">
      <c r="A21" s="141" t="str">
        <f>'t1'!A21</f>
        <v>POSIZIONE ECONOMICA A1</v>
      </c>
      <c r="B21" s="324" t="str">
        <f>'t1'!B21</f>
        <v>023000</v>
      </c>
      <c r="C21" s="970">
        <f>'t11'!U23+'t11'!V23</f>
        <v>0</v>
      </c>
      <c r="D21" s="970">
        <f>(C21-'t11'!Q23-'t11'!R23-'t11'!S23-'t11'!T23)</f>
        <v>0</v>
      </c>
      <c r="E21" s="971">
        <f>'t12'!C21/12</f>
        <v>0</v>
      </c>
      <c r="F21" s="970">
        <f>'t3'!M21+'t3'!N21+'t3'!O21+'t3'!P21+'t3'!Q21+'t3'!R21</f>
        <v>0</v>
      </c>
      <c r="G21" s="370" t="str">
        <f t="shared" si="0"/>
        <v>OK</v>
      </c>
      <c r="H21" s="370" t="str">
        <f t="shared" si="1"/>
        <v>OK</v>
      </c>
      <c r="I21" s="688">
        <f>IF(H21="KO",($H$5&amp;(('t12'!C21/12*273)+(('t3'!M21+'t3'!N21+'t3'!O21+'t3'!P21+'t3'!Q21+'t3'!R21)*273))&amp;")"),"")</f>
      </c>
    </row>
    <row r="22" spans="1:9" ht="12.75">
      <c r="A22" s="141" t="str">
        <f>'t1'!A22</f>
        <v>CONTRATTISTI (a)</v>
      </c>
      <c r="B22" s="324" t="str">
        <f>'t1'!B22</f>
        <v>000061</v>
      </c>
      <c r="C22" s="970">
        <f>'t11'!U24+'t11'!V24</f>
        <v>0</v>
      </c>
      <c r="D22" s="970">
        <f>(C22-'t11'!Q24-'t11'!R24-'t11'!S24-'t11'!T24)</f>
        <v>0</v>
      </c>
      <c r="E22" s="971">
        <f>'t12'!C22/12</f>
        <v>0</v>
      </c>
      <c r="F22" s="970">
        <f>'t3'!M22+'t3'!N22+'t3'!O22+'t3'!P22+'t3'!Q22+'t3'!R22</f>
        <v>0</v>
      </c>
      <c r="G22" s="370" t="str">
        <f t="shared" si="0"/>
        <v>OK</v>
      </c>
      <c r="H22" s="370" t="str">
        <f t="shared" si="1"/>
        <v>OK</v>
      </c>
      <c r="I22" s="688">
        <f>IF(H22="KO",($H$5&amp;(('t12'!C22/12*273)+(('t3'!M22+'t3'!N22+'t3'!O22+'t3'!P22+'t3'!Q22+'t3'!R22)*273))&amp;")"),"")</f>
      </c>
    </row>
  </sheetData>
  <sheetProtection password="EA98" sheet="1" formatColumns="0" selectLockedCells="1" selectUnlockedCells="1"/>
  <mergeCells count="3">
    <mergeCell ref="A1:I1"/>
    <mergeCell ref="D2:G2"/>
    <mergeCell ref="A3:I3"/>
  </mergeCells>
  <printOptions horizontalCentered="1"/>
  <pageMargins left="0.2" right="0.2" top="0.1968503937007874" bottom="0.15748031496062992" header="0.15748031496062992" footer="0.15748031496062992"/>
  <pageSetup fitToHeight="1" fitToWidth="1" horizontalDpi="600" verticalDpi="600" orientation="landscape" paperSize="9" scale="81" r:id="rId1"/>
</worksheet>
</file>

<file path=xl/worksheets/sheet4.xml><?xml version="1.0" encoding="utf-8"?>
<worksheet xmlns="http://schemas.openxmlformats.org/spreadsheetml/2006/main" xmlns:r="http://schemas.openxmlformats.org/officeDocument/2006/relationships">
  <sheetPr codeName="Foglio9"/>
  <dimension ref="A1:AN13"/>
  <sheetViews>
    <sheetView showGridLines="0" zoomScalePageLayoutView="0" workbookViewId="0" topLeftCell="A1">
      <selection activeCell="AA6" sqref="AA6"/>
    </sheetView>
  </sheetViews>
  <sheetFormatPr defaultColWidth="9.33203125" defaultRowHeight="10.5"/>
  <cols>
    <col min="1" max="1" width="33" style="5" customWidth="1"/>
    <col min="2" max="2" width="13.33203125" style="7" hidden="1" customWidth="1"/>
    <col min="3" max="8" width="11.16015625" style="5" hidden="1" customWidth="1"/>
    <col min="9" max="16" width="10.83203125" style="5" hidden="1" customWidth="1"/>
    <col min="17" max="26" width="9.33203125" style="5" hidden="1" customWidth="1"/>
    <col min="27" max="32" width="11.16015625" style="5" customWidth="1"/>
    <col min="33" max="40" width="10.83203125" style="5" customWidth="1"/>
    <col min="41" max="42" width="9.33203125" style="5" customWidth="1"/>
    <col min="43" max="16384" width="9.33203125" style="5" customWidth="1"/>
  </cols>
  <sheetData>
    <row r="1" spans="1:37" ht="43.5" customHeight="1">
      <c r="A1" s="938" t="str">
        <f>'t1'!A1</f>
        <v>CNEL - anno 2018</v>
      </c>
      <c r="B1" s="938"/>
      <c r="C1" s="938"/>
      <c r="D1" s="938"/>
      <c r="E1" s="938"/>
      <c r="F1" s="938"/>
      <c r="G1" s="938"/>
      <c r="H1" s="938"/>
      <c r="I1" s="938"/>
      <c r="J1" s="938"/>
      <c r="K1" s="3"/>
      <c r="L1" s="318"/>
      <c r="M1"/>
      <c r="AI1" s="3"/>
      <c r="AJ1" s="318"/>
      <c r="AK1"/>
    </row>
    <row r="2" spans="1:36" ht="30" customHeight="1" thickBot="1">
      <c r="A2" s="6"/>
      <c r="G2" s="1334"/>
      <c r="H2" s="1334"/>
      <c r="I2" s="1334"/>
      <c r="J2" s="1334"/>
      <c r="K2" s="1334"/>
      <c r="L2" s="1334"/>
      <c r="AE2" s="1334"/>
      <c r="AF2" s="1334"/>
      <c r="AG2" s="1334"/>
      <c r="AH2" s="1334"/>
      <c r="AI2" s="1334"/>
      <c r="AJ2" s="1334"/>
    </row>
    <row r="3" spans="1:40" ht="24.75" customHeight="1" thickBot="1">
      <c r="A3" s="12"/>
      <c r="B3" s="13"/>
      <c r="C3" s="107" t="s">
        <v>254</v>
      </c>
      <c r="D3" s="14"/>
      <c r="E3" s="14"/>
      <c r="F3" s="14"/>
      <c r="G3" s="710"/>
      <c r="H3" s="710"/>
      <c r="I3" s="710"/>
      <c r="J3" s="710"/>
      <c r="K3" s="710"/>
      <c r="L3" s="711"/>
      <c r="M3" s="277"/>
      <c r="N3" s="277"/>
      <c r="O3" s="277"/>
      <c r="P3" s="278"/>
      <c r="AA3" s="107" t="s">
        <v>254</v>
      </c>
      <c r="AB3" s="14"/>
      <c r="AC3" s="14"/>
      <c r="AD3" s="14"/>
      <c r="AE3" s="710"/>
      <c r="AF3" s="710"/>
      <c r="AG3" s="710"/>
      <c r="AH3" s="710"/>
      <c r="AI3" s="710"/>
      <c r="AJ3" s="711"/>
      <c r="AK3" s="277"/>
      <c r="AL3" s="277"/>
      <c r="AM3" s="277"/>
      <c r="AN3" s="278"/>
    </row>
    <row r="4" spans="1:40" ht="52.5" customHeight="1" thickTop="1">
      <c r="A4" s="109" t="s">
        <v>106</v>
      </c>
      <c r="B4" s="110" t="s">
        <v>74</v>
      </c>
      <c r="C4" s="20" t="s">
        <v>136</v>
      </c>
      <c r="D4" s="111"/>
      <c r="E4" s="20" t="s">
        <v>137</v>
      </c>
      <c r="F4" s="111"/>
      <c r="G4" s="20" t="s">
        <v>54</v>
      </c>
      <c r="H4" s="111"/>
      <c r="I4" s="136" t="s">
        <v>803</v>
      </c>
      <c r="J4" s="111"/>
      <c r="K4" s="1331" t="s">
        <v>770</v>
      </c>
      <c r="L4" s="1332"/>
      <c r="M4" s="1331" t="s">
        <v>0</v>
      </c>
      <c r="N4" s="1332"/>
      <c r="O4" s="1331" t="s">
        <v>1</v>
      </c>
      <c r="P4" s="1333"/>
      <c r="AA4" s="1329" t="s">
        <v>136</v>
      </c>
      <c r="AB4" s="1330"/>
      <c r="AC4" s="1329" t="s">
        <v>137</v>
      </c>
      <c r="AD4" s="1330"/>
      <c r="AE4" s="1329" t="s">
        <v>54</v>
      </c>
      <c r="AF4" s="1330"/>
      <c r="AG4" s="1331" t="s">
        <v>803</v>
      </c>
      <c r="AH4" s="1332"/>
      <c r="AI4" s="1331" t="s">
        <v>770</v>
      </c>
      <c r="AJ4" s="1332"/>
      <c r="AK4" s="1331" t="s">
        <v>0</v>
      </c>
      <c r="AL4" s="1332"/>
      <c r="AM4" s="1331" t="s">
        <v>1</v>
      </c>
      <c r="AN4" s="1333"/>
    </row>
    <row r="5" spans="1:40" ht="20.25" customHeight="1" thickBot="1">
      <c r="A5" s="15"/>
      <c r="B5" s="19"/>
      <c r="C5" s="525" t="s">
        <v>75</v>
      </c>
      <c r="D5" s="526" t="s">
        <v>76</v>
      </c>
      <c r="E5" s="525" t="s">
        <v>75</v>
      </c>
      <c r="F5" s="526" t="s">
        <v>76</v>
      </c>
      <c r="G5" s="525" t="s">
        <v>75</v>
      </c>
      <c r="H5" s="526" t="s">
        <v>76</v>
      </c>
      <c r="I5" s="525" t="s">
        <v>75</v>
      </c>
      <c r="J5" s="526" t="s">
        <v>76</v>
      </c>
      <c r="K5" s="525" t="s">
        <v>75</v>
      </c>
      <c r="L5" s="527" t="s">
        <v>76</v>
      </c>
      <c r="M5" s="525" t="s">
        <v>75</v>
      </c>
      <c r="N5" s="527" t="s">
        <v>76</v>
      </c>
      <c r="O5" s="525" t="s">
        <v>75</v>
      </c>
      <c r="P5" s="527" t="s">
        <v>76</v>
      </c>
      <c r="AA5" s="525" t="s">
        <v>75</v>
      </c>
      <c r="AB5" s="526" t="s">
        <v>76</v>
      </c>
      <c r="AC5" s="525" t="s">
        <v>75</v>
      </c>
      <c r="AD5" s="526" t="s">
        <v>76</v>
      </c>
      <c r="AE5" s="525" t="s">
        <v>75</v>
      </c>
      <c r="AF5" s="526" t="s">
        <v>76</v>
      </c>
      <c r="AG5" s="525" t="s">
        <v>75</v>
      </c>
      <c r="AH5" s="526" t="s">
        <v>76</v>
      </c>
      <c r="AI5" s="525" t="s">
        <v>75</v>
      </c>
      <c r="AJ5" s="527" t="s">
        <v>76</v>
      </c>
      <c r="AK5" s="525" t="s">
        <v>75</v>
      </c>
      <c r="AL5" s="527" t="s">
        <v>76</v>
      </c>
      <c r="AM5" s="525" t="s">
        <v>75</v>
      </c>
      <c r="AN5" s="527" t="s">
        <v>76</v>
      </c>
    </row>
    <row r="6" spans="1:40" ht="20.25" customHeight="1" thickTop="1">
      <c r="A6" s="492" t="s">
        <v>483</v>
      </c>
      <c r="B6" s="493" t="s">
        <v>484</v>
      </c>
      <c r="C6" s="528">
        <f aca="true" t="shared" si="0" ref="C6:I9">ROUND(AA6,2)</f>
        <v>0</v>
      </c>
      <c r="D6" s="522">
        <f t="shared" si="0"/>
        <v>0</v>
      </c>
      <c r="E6" s="528">
        <f t="shared" si="0"/>
        <v>0</v>
      </c>
      <c r="F6" s="522">
        <f t="shared" si="0"/>
        <v>0</v>
      </c>
      <c r="G6" s="528">
        <f t="shared" si="0"/>
        <v>0</v>
      </c>
      <c r="H6" s="522">
        <f t="shared" si="0"/>
        <v>0</v>
      </c>
      <c r="I6" s="528">
        <f t="shared" si="0"/>
        <v>0</v>
      </c>
      <c r="J6" s="522">
        <f>ROUND(AH6,2)</f>
        <v>0</v>
      </c>
      <c r="K6" s="932">
        <f aca="true" t="shared" si="1" ref="K6:P9">ROUND(AI6,0)</f>
        <v>0</v>
      </c>
      <c r="L6" s="933">
        <f t="shared" si="1"/>
        <v>0</v>
      </c>
      <c r="M6" s="932">
        <f t="shared" si="1"/>
        <v>0</v>
      </c>
      <c r="N6" s="933">
        <f t="shared" si="1"/>
        <v>0</v>
      </c>
      <c r="O6" s="932">
        <f t="shared" si="1"/>
        <v>0</v>
      </c>
      <c r="P6" s="933">
        <f t="shared" si="1"/>
        <v>0</v>
      </c>
      <c r="AA6" s="528"/>
      <c r="AB6" s="522"/>
      <c r="AC6" s="528"/>
      <c r="AD6" s="522"/>
      <c r="AE6" s="528"/>
      <c r="AF6" s="522"/>
      <c r="AG6" s="528"/>
      <c r="AH6" s="522"/>
      <c r="AI6" s="528"/>
      <c r="AJ6" s="523"/>
      <c r="AK6" s="528"/>
      <c r="AL6" s="523"/>
      <c r="AM6" s="528"/>
      <c r="AN6" s="523"/>
    </row>
    <row r="7" spans="1:40" ht="20.25" customHeight="1">
      <c r="A7" s="492" t="s">
        <v>485</v>
      </c>
      <c r="B7" s="493" t="s">
        <v>486</v>
      </c>
      <c r="C7" s="518">
        <f t="shared" si="0"/>
        <v>0</v>
      </c>
      <c r="D7" s="519">
        <f t="shared" si="0"/>
        <v>0</v>
      </c>
      <c r="E7" s="518">
        <f t="shared" si="0"/>
        <v>0</v>
      </c>
      <c r="F7" s="519">
        <f t="shared" si="0"/>
        <v>0</v>
      </c>
      <c r="G7" s="518">
        <f t="shared" si="0"/>
        <v>0</v>
      </c>
      <c r="H7" s="519">
        <f t="shared" si="0"/>
        <v>0</v>
      </c>
      <c r="I7" s="518">
        <f t="shared" si="0"/>
        <v>0</v>
      </c>
      <c r="J7" s="519">
        <f>ROUND(AH7,2)</f>
        <v>0</v>
      </c>
      <c r="K7" s="934">
        <f t="shared" si="1"/>
        <v>0</v>
      </c>
      <c r="L7" s="935">
        <f t="shared" si="1"/>
        <v>0</v>
      </c>
      <c r="M7" s="934">
        <f t="shared" si="1"/>
        <v>0</v>
      </c>
      <c r="N7" s="935">
        <f t="shared" si="1"/>
        <v>0</v>
      </c>
      <c r="O7" s="934">
        <f t="shared" si="1"/>
        <v>0</v>
      </c>
      <c r="P7" s="935">
        <f t="shared" si="1"/>
        <v>0</v>
      </c>
      <c r="AA7" s="518"/>
      <c r="AB7" s="519"/>
      <c r="AC7" s="518"/>
      <c r="AD7" s="519"/>
      <c r="AE7" s="518"/>
      <c r="AF7" s="519"/>
      <c r="AG7" s="518"/>
      <c r="AH7" s="519"/>
      <c r="AI7" s="518"/>
      <c r="AJ7" s="520"/>
      <c r="AK7" s="518"/>
      <c r="AL7" s="520"/>
      <c r="AM7" s="518"/>
      <c r="AN7" s="520"/>
    </row>
    <row r="8" spans="1:40" ht="20.25" customHeight="1">
      <c r="A8" s="492" t="s">
        <v>487</v>
      </c>
      <c r="B8" s="493" t="s">
        <v>488</v>
      </c>
      <c r="C8" s="521">
        <f t="shared" si="0"/>
        <v>0</v>
      </c>
      <c r="D8" s="522">
        <f t="shared" si="0"/>
        <v>0</v>
      </c>
      <c r="E8" s="521">
        <f t="shared" si="0"/>
        <v>0</v>
      </c>
      <c r="F8" s="522">
        <f t="shared" si="0"/>
        <v>0</v>
      </c>
      <c r="G8" s="521">
        <f t="shared" si="0"/>
        <v>0</v>
      </c>
      <c r="H8" s="522">
        <f t="shared" si="0"/>
        <v>0</v>
      </c>
      <c r="I8" s="521">
        <f t="shared" si="0"/>
        <v>0</v>
      </c>
      <c r="J8" s="522">
        <f>ROUND(AH8,2)</f>
        <v>0</v>
      </c>
      <c r="K8" s="936">
        <f t="shared" si="1"/>
        <v>0</v>
      </c>
      <c r="L8" s="933">
        <f t="shared" si="1"/>
        <v>0</v>
      </c>
      <c r="M8" s="936">
        <f t="shared" si="1"/>
        <v>0</v>
      </c>
      <c r="N8" s="933">
        <f t="shared" si="1"/>
        <v>0</v>
      </c>
      <c r="O8" s="936">
        <f t="shared" si="1"/>
        <v>0</v>
      </c>
      <c r="P8" s="933">
        <f t="shared" si="1"/>
        <v>0</v>
      </c>
      <c r="AA8" s="521"/>
      <c r="AB8" s="522"/>
      <c r="AC8" s="521"/>
      <c r="AD8" s="522"/>
      <c r="AE8" s="521"/>
      <c r="AF8" s="522"/>
      <c r="AG8" s="521"/>
      <c r="AH8" s="522"/>
      <c r="AI8" s="521"/>
      <c r="AJ8" s="523"/>
      <c r="AK8" s="521"/>
      <c r="AL8" s="523"/>
      <c r="AM8" s="521"/>
      <c r="AN8" s="523"/>
    </row>
    <row r="9" spans="1:40" ht="20.25" customHeight="1" thickBot="1">
      <c r="A9" s="492" t="s">
        <v>489</v>
      </c>
      <c r="B9" s="493" t="s">
        <v>284</v>
      </c>
      <c r="C9" s="524">
        <f t="shared" si="0"/>
        <v>0</v>
      </c>
      <c r="D9" s="519">
        <f t="shared" si="0"/>
        <v>0</v>
      </c>
      <c r="E9" s="524">
        <f t="shared" si="0"/>
        <v>0</v>
      </c>
      <c r="F9" s="519">
        <f t="shared" si="0"/>
        <v>0</v>
      </c>
      <c r="G9" s="524">
        <f t="shared" si="0"/>
        <v>0</v>
      </c>
      <c r="H9" s="519">
        <f t="shared" si="0"/>
        <v>0</v>
      </c>
      <c r="I9" s="524">
        <f t="shared" si="0"/>
        <v>0</v>
      </c>
      <c r="J9" s="519">
        <f>ROUND(AH9,2)</f>
        <v>0</v>
      </c>
      <c r="K9" s="937">
        <f t="shared" si="1"/>
        <v>0</v>
      </c>
      <c r="L9" s="935">
        <f t="shared" si="1"/>
        <v>0</v>
      </c>
      <c r="M9" s="937">
        <f t="shared" si="1"/>
        <v>0</v>
      </c>
      <c r="N9" s="935">
        <f t="shared" si="1"/>
        <v>0</v>
      </c>
      <c r="O9" s="937">
        <f t="shared" si="1"/>
        <v>0</v>
      </c>
      <c r="P9" s="935">
        <f t="shared" si="1"/>
        <v>0</v>
      </c>
      <c r="AA9" s="524"/>
      <c r="AB9" s="519"/>
      <c r="AC9" s="524"/>
      <c r="AD9" s="519"/>
      <c r="AE9" s="524"/>
      <c r="AF9" s="519"/>
      <c r="AG9" s="524"/>
      <c r="AH9" s="519"/>
      <c r="AI9" s="524"/>
      <c r="AJ9" s="520"/>
      <c r="AK9" s="524"/>
      <c r="AL9" s="520"/>
      <c r="AM9" s="524"/>
      <c r="AN9" s="520"/>
    </row>
    <row r="10" spans="1:40" ht="33" customHeight="1" thickBot="1" thickTop="1">
      <c r="A10" s="18" t="s">
        <v>77</v>
      </c>
      <c r="B10" s="16"/>
      <c r="C10" s="529">
        <f aca="true" t="shared" si="2" ref="C10:P10">SUM(C6:C9)</f>
        <v>0</v>
      </c>
      <c r="D10" s="530">
        <f t="shared" si="2"/>
        <v>0</v>
      </c>
      <c r="E10" s="529">
        <f t="shared" si="2"/>
        <v>0</v>
      </c>
      <c r="F10" s="530">
        <f t="shared" si="2"/>
        <v>0</v>
      </c>
      <c r="G10" s="529">
        <f t="shared" si="2"/>
        <v>0</v>
      </c>
      <c r="H10" s="530">
        <f t="shared" si="2"/>
        <v>0</v>
      </c>
      <c r="I10" s="529">
        <f t="shared" si="2"/>
        <v>0</v>
      </c>
      <c r="J10" s="530">
        <f t="shared" si="2"/>
        <v>0</v>
      </c>
      <c r="K10" s="529">
        <f t="shared" si="2"/>
        <v>0</v>
      </c>
      <c r="L10" s="531">
        <f t="shared" si="2"/>
        <v>0</v>
      </c>
      <c r="M10" s="529">
        <f t="shared" si="2"/>
        <v>0</v>
      </c>
      <c r="N10" s="531">
        <f t="shared" si="2"/>
        <v>0</v>
      </c>
      <c r="O10" s="529">
        <f t="shared" si="2"/>
        <v>0</v>
      </c>
      <c r="P10" s="531">
        <f t="shared" si="2"/>
        <v>0</v>
      </c>
      <c r="AA10" s="529">
        <f aca="true" t="shared" si="3" ref="AA10:AN10">SUM(AA6:AA9)</f>
        <v>0</v>
      </c>
      <c r="AB10" s="530">
        <f t="shared" si="3"/>
        <v>0</v>
      </c>
      <c r="AC10" s="529">
        <f t="shared" si="3"/>
        <v>0</v>
      </c>
      <c r="AD10" s="530">
        <f t="shared" si="3"/>
        <v>0</v>
      </c>
      <c r="AE10" s="529">
        <f t="shared" si="3"/>
        <v>0</v>
      </c>
      <c r="AF10" s="530">
        <f t="shared" si="3"/>
        <v>0</v>
      </c>
      <c r="AG10" s="529">
        <f t="shared" si="3"/>
        <v>0</v>
      </c>
      <c r="AH10" s="530">
        <f t="shared" si="3"/>
        <v>0</v>
      </c>
      <c r="AI10" s="529">
        <f t="shared" si="3"/>
        <v>0</v>
      </c>
      <c r="AJ10" s="531">
        <f t="shared" si="3"/>
        <v>0</v>
      </c>
      <c r="AK10" s="529">
        <f t="shared" si="3"/>
        <v>0</v>
      </c>
      <c r="AL10" s="531">
        <f t="shared" si="3"/>
        <v>0</v>
      </c>
      <c r="AM10" s="529">
        <f t="shared" si="3"/>
        <v>0</v>
      </c>
      <c r="AN10" s="531">
        <f t="shared" si="3"/>
        <v>0</v>
      </c>
    </row>
    <row r="11" spans="1:36" ht="8.25" customHeight="1">
      <c r="A11" s="8"/>
      <c r="B11" s="9"/>
      <c r="C11" s="10"/>
      <c r="D11" s="11"/>
      <c r="E11" s="10"/>
      <c r="F11" s="11"/>
      <c r="G11" s="10"/>
      <c r="H11" s="11"/>
      <c r="I11" s="10"/>
      <c r="J11" s="11"/>
      <c r="K11" s="10"/>
      <c r="L11" s="11"/>
      <c r="AA11" s="10"/>
      <c r="AB11" s="11"/>
      <c r="AC11" s="10"/>
      <c r="AD11" s="11"/>
      <c r="AE11" s="10"/>
      <c r="AF11" s="11"/>
      <c r="AG11" s="10"/>
      <c r="AH11" s="11"/>
      <c r="AI11" s="10"/>
      <c r="AJ11" s="11"/>
    </row>
    <row r="12" ht="12.75">
      <c r="A12" s="104" t="s">
        <v>138</v>
      </c>
    </row>
    <row r="13" ht="12.75">
      <c r="A13" s="104" t="s">
        <v>139</v>
      </c>
    </row>
  </sheetData>
  <sheetProtection password="EA98" sheet="1" formatColumns="0" selectLockedCells="1"/>
  <mergeCells count="12">
    <mergeCell ref="G2:L2"/>
    <mergeCell ref="AE2:AJ2"/>
    <mergeCell ref="K4:L4"/>
    <mergeCell ref="M4:N4"/>
    <mergeCell ref="O4:P4"/>
    <mergeCell ref="AI4:AJ4"/>
    <mergeCell ref="AA4:AB4"/>
    <mergeCell ref="AC4:AD4"/>
    <mergeCell ref="AE4:AF4"/>
    <mergeCell ref="AG4:AH4"/>
    <mergeCell ref="AK4:AL4"/>
    <mergeCell ref="AM4:AN4"/>
  </mergeCells>
  <dataValidations count="2">
    <dataValidation type="decimal" allowBlank="1" showInputMessage="1" showErrorMessage="1" promptTitle="ATTENZIONE!" prompt="Inserire solo numeri decimali con due cifre dopo la virgola" sqref="C6:J9 AA6:AH9">
      <formula1>0</formula1>
      <formula2>9999999</formula2>
    </dataValidation>
    <dataValidation type="whole" allowBlank="1" showErrorMessage="1" promptTitle="ATTENZIONE!" prompt="Inserire solo numeri decimali con due cifre dopo la virgola" sqref="K6:P9 AI6:AN9">
      <formula1>0</formula1>
      <formula2>9999999</formula2>
    </dataValidation>
  </dataValidations>
  <printOptions horizontalCentered="1" verticalCentered="1"/>
  <pageMargins left="0" right="0" top="0.1968503937007874" bottom="0.31496062992125984" header="0.5118110236220472" footer="0.5118110236220472"/>
  <pageSetup horizontalDpi="300" verticalDpi="300" orientation="landscape" paperSize="9" scale="90" r:id="rId2"/>
  <drawing r:id="rId1"/>
</worksheet>
</file>

<file path=xl/worksheets/sheet5.xml><?xml version="1.0" encoding="utf-8"?>
<worksheet xmlns="http://schemas.openxmlformats.org/spreadsheetml/2006/main" xmlns:r="http://schemas.openxmlformats.org/officeDocument/2006/relationships">
  <sheetPr codeName="Foglio34"/>
  <dimension ref="A1:T30"/>
  <sheetViews>
    <sheetView zoomScalePageLayoutView="0" workbookViewId="0" topLeftCell="A1">
      <selection activeCell="D10" sqref="D10"/>
    </sheetView>
  </sheetViews>
  <sheetFormatPr defaultColWidth="9.33203125" defaultRowHeight="10.5"/>
  <cols>
    <col min="1" max="1" width="6.16015625" style="602" bestFit="1" customWidth="1"/>
    <col min="2" max="2" width="13" style="598" customWidth="1"/>
    <col min="3" max="3" width="29.83203125" style="598" customWidth="1"/>
    <col min="4" max="11" width="13.5" style="598" customWidth="1"/>
    <col min="12" max="19" width="7.83203125" style="598" hidden="1" customWidth="1"/>
    <col min="20" max="20" width="0" style="598" hidden="1" customWidth="1"/>
    <col min="21" max="21" width="8" style="598" customWidth="1"/>
    <col min="22" max="22" width="10.5" style="598" customWidth="1"/>
    <col min="23" max="16384" width="9.33203125" style="598" customWidth="1"/>
  </cols>
  <sheetData>
    <row r="1" spans="1:19" ht="23.25" customHeight="1">
      <c r="A1" s="602" t="str">
        <f>SI_1!A2</f>
        <v>CNEL</v>
      </c>
      <c r="B1" s="1343" t="str">
        <f>'t1'!A1</f>
        <v>CNEL - anno 2018</v>
      </c>
      <c r="C1" s="1343"/>
      <c r="D1" s="1343"/>
      <c r="E1" s="1343"/>
      <c r="F1" s="1343"/>
      <c r="G1" s="1343"/>
      <c r="H1" s="1343"/>
      <c r="I1" s="1343"/>
      <c r="J1" s="1343"/>
      <c r="K1" s="1343"/>
      <c r="L1" s="1343"/>
      <c r="M1" s="1343"/>
      <c r="N1" s="1343"/>
      <c r="O1" s="1343"/>
      <c r="P1" s="1343"/>
      <c r="Q1" s="1343"/>
      <c r="R1" s="1343"/>
      <c r="S1" s="1343"/>
    </row>
    <row r="2" spans="4:17" ht="9.75">
      <c r="D2" s="599"/>
      <c r="E2" s="599"/>
      <c r="F2" s="599"/>
      <c r="G2" s="599"/>
      <c r="H2" s="599"/>
      <c r="I2" s="599"/>
      <c r="J2" s="599"/>
      <c r="K2" s="599"/>
      <c r="L2" s="599"/>
      <c r="M2" s="599"/>
      <c r="N2" s="599"/>
      <c r="O2" s="599"/>
      <c r="P2" s="599"/>
      <c r="Q2" s="599"/>
    </row>
    <row r="3" spans="4:18" ht="23.25" customHeight="1">
      <c r="D3" s="600"/>
      <c r="E3" s="600"/>
      <c r="F3" s="600"/>
      <c r="G3" s="600"/>
      <c r="H3" s="600"/>
      <c r="I3" s="600"/>
      <c r="J3" s="619"/>
      <c r="K3" s="619"/>
      <c r="M3" s="601"/>
      <c r="N3" s="601"/>
      <c r="O3" s="601"/>
      <c r="P3" s="601"/>
      <c r="Q3" s="601"/>
      <c r="R3" s="601"/>
    </row>
    <row r="4" ht="11.25">
      <c r="D4" s="603"/>
    </row>
    <row r="6" spans="2:19" ht="15" customHeight="1" hidden="1" thickTop="1">
      <c r="B6" s="1335"/>
      <c r="C6" s="1341"/>
      <c r="D6" s="1344"/>
      <c r="E6" s="1345"/>
      <c r="F6" s="1345"/>
      <c r="G6" s="1345"/>
      <c r="H6" s="1345"/>
      <c r="I6" s="1345"/>
      <c r="J6" s="1345"/>
      <c r="K6" s="1346"/>
      <c r="L6" s="1344"/>
      <c r="M6" s="1345"/>
      <c r="N6" s="1345"/>
      <c r="O6" s="1345"/>
      <c r="P6" s="1345"/>
      <c r="Q6" s="1345"/>
      <c r="R6" s="1345"/>
      <c r="S6" s="1346"/>
    </row>
    <row r="7" spans="2:19" ht="13.5" customHeight="1" hidden="1">
      <c r="B7" s="1335"/>
      <c r="C7" s="1341"/>
      <c r="D7" s="1347"/>
      <c r="E7" s="1335"/>
      <c r="F7" s="1335"/>
      <c r="G7" s="1335"/>
      <c r="H7" s="1335"/>
      <c r="I7" s="1335"/>
      <c r="J7" s="1335"/>
      <c r="K7" s="1348"/>
      <c r="L7" s="1347"/>
      <c r="M7" s="1335"/>
      <c r="N7" s="1335"/>
      <c r="O7" s="1335"/>
      <c r="P7" s="1335"/>
      <c r="Q7" s="1335"/>
      <c r="R7" s="1335"/>
      <c r="S7" s="1348"/>
    </row>
    <row r="8" spans="2:19" ht="60" customHeight="1">
      <c r="B8" s="1335" t="s">
        <v>357</v>
      </c>
      <c r="C8" s="1341"/>
      <c r="D8" s="1342" t="s">
        <v>317</v>
      </c>
      <c r="E8" s="1336"/>
      <c r="F8" s="1336" t="s">
        <v>318</v>
      </c>
      <c r="G8" s="1336"/>
      <c r="H8" s="1336" t="s">
        <v>319</v>
      </c>
      <c r="I8" s="1336"/>
      <c r="J8" s="1336" t="s">
        <v>320</v>
      </c>
      <c r="K8" s="1337"/>
      <c r="L8" s="1339"/>
      <c r="M8" s="1336"/>
      <c r="N8" s="1336"/>
      <c r="O8" s="1336"/>
      <c r="P8" s="1336"/>
      <c r="Q8" s="1336"/>
      <c r="R8" s="1336"/>
      <c r="S8" s="1337"/>
    </row>
    <row r="9" spans="2:19" ht="12">
      <c r="B9" s="1336" t="s">
        <v>321</v>
      </c>
      <c r="C9" s="1338"/>
      <c r="D9" s="610" t="s">
        <v>92</v>
      </c>
      <c r="E9" s="609" t="s">
        <v>93</v>
      </c>
      <c r="F9" s="608" t="s">
        <v>92</v>
      </c>
      <c r="G9" s="609" t="s">
        <v>93</v>
      </c>
      <c r="H9" s="608" t="s">
        <v>92</v>
      </c>
      <c r="I9" s="609" t="s">
        <v>93</v>
      </c>
      <c r="J9" s="608" t="s">
        <v>92</v>
      </c>
      <c r="K9" s="611" t="s">
        <v>93</v>
      </c>
      <c r="L9" s="610"/>
      <c r="M9" s="609"/>
      <c r="N9" s="608"/>
      <c r="O9" s="609"/>
      <c r="P9" s="608"/>
      <c r="Q9" s="609"/>
      <c r="R9" s="608"/>
      <c r="S9" s="611"/>
    </row>
    <row r="10" spans="1:19" ht="30.75" customHeight="1">
      <c r="A10" s="602" t="s">
        <v>322</v>
      </c>
      <c r="B10" s="1336" t="s">
        <v>323</v>
      </c>
      <c r="C10" s="1338"/>
      <c r="D10" s="720"/>
      <c r="E10" s="625"/>
      <c r="F10" s="625"/>
      <c r="G10" s="625"/>
      <c r="H10" s="626"/>
      <c r="I10" s="626"/>
      <c r="J10" s="626"/>
      <c r="K10" s="628"/>
      <c r="L10" s="627"/>
      <c r="M10" s="626"/>
      <c r="N10" s="626"/>
      <c r="O10" s="626"/>
      <c r="P10" s="626"/>
      <c r="Q10" s="626"/>
      <c r="R10" s="626"/>
      <c r="S10" s="628"/>
    </row>
    <row r="11" spans="2:19" ht="7.5" customHeight="1">
      <c r="B11" s="1340"/>
      <c r="C11" s="1340"/>
      <c r="D11" s="1340"/>
      <c r="E11" s="1340"/>
      <c r="F11" s="1340"/>
      <c r="G11" s="1340"/>
      <c r="H11" s="1340"/>
      <c r="I11" s="1340"/>
      <c r="J11" s="1340"/>
      <c r="K11" s="1340"/>
      <c r="L11" s="1340"/>
      <c r="M11" s="1340"/>
      <c r="N11" s="1340"/>
      <c r="O11" s="1340"/>
      <c r="P11" s="1340"/>
      <c r="Q11" s="1340"/>
      <c r="R11" s="1340"/>
      <c r="S11" s="1340"/>
    </row>
    <row r="12" spans="1:19" ht="15" customHeight="1">
      <c r="A12" s="602" t="str">
        <f>'t2'!B6</f>
        <v>AC</v>
      </c>
      <c r="B12" s="1335" t="s">
        <v>324</v>
      </c>
      <c r="C12" s="612" t="str">
        <f>'t2'!A6</f>
        <v>AREA C</v>
      </c>
      <c r="D12" s="629"/>
      <c r="E12" s="626"/>
      <c r="F12" s="626"/>
      <c r="G12" s="626"/>
      <c r="H12" s="626"/>
      <c r="I12" s="626"/>
      <c r="J12" s="626"/>
      <c r="K12" s="628"/>
      <c r="L12" s="627"/>
      <c r="M12" s="626"/>
      <c r="N12" s="626"/>
      <c r="O12" s="626"/>
      <c r="P12" s="626"/>
      <c r="Q12" s="626"/>
      <c r="R12" s="626"/>
      <c r="S12" s="628"/>
    </row>
    <row r="13" spans="1:19" ht="11.25">
      <c r="A13" s="602" t="str">
        <f>'t2'!B7</f>
        <v>AB</v>
      </c>
      <c r="B13" s="1335"/>
      <c r="C13" s="612" t="str">
        <f>'t2'!A7</f>
        <v>AREA B</v>
      </c>
      <c r="D13" s="629"/>
      <c r="E13" s="626"/>
      <c r="F13" s="626"/>
      <c r="G13" s="626"/>
      <c r="H13" s="626"/>
      <c r="I13" s="626"/>
      <c r="J13" s="626"/>
      <c r="K13" s="628"/>
      <c r="L13" s="627"/>
      <c r="M13" s="626"/>
      <c r="N13" s="626"/>
      <c r="O13" s="626"/>
      <c r="P13" s="626"/>
      <c r="Q13" s="626"/>
      <c r="R13" s="626"/>
      <c r="S13" s="628"/>
    </row>
    <row r="14" spans="1:19" ht="11.25">
      <c r="A14" s="602" t="str">
        <f>'t2'!B8</f>
        <v>AA</v>
      </c>
      <c r="B14" s="1335"/>
      <c r="C14" s="612" t="str">
        <f>'t2'!A8</f>
        <v>AREA A</v>
      </c>
      <c r="D14" s="629"/>
      <c r="E14" s="626"/>
      <c r="F14" s="626"/>
      <c r="G14" s="626"/>
      <c r="H14" s="626"/>
      <c r="I14" s="626"/>
      <c r="J14" s="626"/>
      <c r="K14" s="628"/>
      <c r="L14" s="627"/>
      <c r="M14" s="626"/>
      <c r="N14" s="626"/>
      <c r="O14" s="626"/>
      <c r="P14" s="626"/>
      <c r="Q14" s="626"/>
      <c r="R14" s="626"/>
      <c r="S14" s="628"/>
    </row>
    <row r="15" spans="1:19" ht="11.25">
      <c r="A15" s="602" t="str">
        <f>'t2'!B9</f>
        <v>PC</v>
      </c>
      <c r="B15" s="1335"/>
      <c r="C15" s="612" t="str">
        <f>'t2'!A9</f>
        <v>PERSONALE CONTRATTISTA</v>
      </c>
      <c r="D15" s="629"/>
      <c r="E15" s="626"/>
      <c r="F15" s="626"/>
      <c r="G15" s="626"/>
      <c r="H15" s="626"/>
      <c r="I15" s="626"/>
      <c r="J15" s="626"/>
      <c r="K15" s="628"/>
      <c r="L15" s="627"/>
      <c r="M15" s="626"/>
      <c r="N15" s="626"/>
      <c r="O15" s="626"/>
      <c r="P15" s="626"/>
      <c r="Q15" s="626"/>
      <c r="R15" s="626"/>
      <c r="S15" s="628"/>
    </row>
    <row r="16" spans="1:20" s="606" customFormat="1" ht="12">
      <c r="A16" s="604"/>
      <c r="B16" s="1335"/>
      <c r="C16" s="613" t="s">
        <v>325</v>
      </c>
      <c r="D16" s="630">
        <f aca="true" t="shared" si="0" ref="D16:K16">SUM(D12:D15)</f>
        <v>0</v>
      </c>
      <c r="E16" s="631">
        <f t="shared" si="0"/>
        <v>0</v>
      </c>
      <c r="F16" s="631">
        <f t="shared" si="0"/>
        <v>0</v>
      </c>
      <c r="G16" s="631">
        <f t="shared" si="0"/>
        <v>0</v>
      </c>
      <c r="H16" s="631">
        <f t="shared" si="0"/>
        <v>0</v>
      </c>
      <c r="I16" s="631">
        <f t="shared" si="0"/>
        <v>0</v>
      </c>
      <c r="J16" s="631">
        <f t="shared" si="0"/>
        <v>0</v>
      </c>
      <c r="K16" s="632">
        <f t="shared" si="0"/>
        <v>0</v>
      </c>
      <c r="L16" s="630"/>
      <c r="M16" s="631"/>
      <c r="N16" s="631"/>
      <c r="O16" s="631"/>
      <c r="P16" s="631"/>
      <c r="Q16" s="631"/>
      <c r="R16" s="631"/>
      <c r="S16" s="632"/>
      <c r="T16" s="605">
        <f>SUM(D16:S16,D10:S10)</f>
        <v>0</v>
      </c>
    </row>
    <row r="24" ht="16.5" customHeight="1"/>
    <row r="25" spans="6:7" ht="12.75">
      <c r="F25" s="607"/>
      <c r="G25" s="607"/>
    </row>
    <row r="26" spans="6:7" ht="12.75">
      <c r="F26" s="607"/>
      <c r="G26" s="607"/>
    </row>
    <row r="28" spans="6:7" ht="12.75">
      <c r="F28" s="607"/>
      <c r="G28" s="607"/>
    </row>
    <row r="30" spans="6:7" ht="12.75">
      <c r="F30" s="607"/>
      <c r="G30" s="607"/>
    </row>
  </sheetData>
  <sheetProtection password="EA98" sheet="1" formatColumns="0" selectLockedCells="1"/>
  <mergeCells count="17">
    <mergeCell ref="D8:E8"/>
    <mergeCell ref="F8:G8"/>
    <mergeCell ref="H8:I8"/>
    <mergeCell ref="B1:S1"/>
    <mergeCell ref="B6:C7"/>
    <mergeCell ref="D6:K7"/>
    <mergeCell ref="L6:S7"/>
    <mergeCell ref="B12:B16"/>
    <mergeCell ref="P8:Q8"/>
    <mergeCell ref="R8:S8"/>
    <mergeCell ref="B9:C9"/>
    <mergeCell ref="B10:C10"/>
    <mergeCell ref="J8:K8"/>
    <mergeCell ref="L8:M8"/>
    <mergeCell ref="N8:O8"/>
    <mergeCell ref="B11:S11"/>
    <mergeCell ref="B8:C8"/>
  </mergeCells>
  <dataValidations count="1">
    <dataValidation type="whole" allowBlank="1" showInputMessage="1" showErrorMessage="1" errorTitle="ERRORE" error="INSERIRE SOLO NUMERI INTERI COMPRESI TRA 0 E 9999999" sqref="D10:S10 D12:S15">
      <formula1>0</formula1>
      <formula2>9999999</formula2>
    </dataValidation>
  </dataValidations>
  <printOptions/>
  <pageMargins left="0.39" right="0.4" top="1" bottom="1" header="0.5" footer="0.5"/>
  <pageSetup orientation="landscape" paperSize="9" r:id="rId2"/>
  <drawing r:id="rId1"/>
</worksheet>
</file>

<file path=xl/worksheets/sheet6.xml><?xml version="1.0" encoding="utf-8"?>
<worksheet xmlns="http://schemas.openxmlformats.org/spreadsheetml/2006/main" xmlns:r="http://schemas.openxmlformats.org/officeDocument/2006/relationships">
  <sheetPr codeName="Foglio10"/>
  <dimension ref="A1:X28"/>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C6" sqref="C6"/>
    </sheetView>
  </sheetViews>
  <sheetFormatPr defaultColWidth="10.66015625" defaultRowHeight="10.5"/>
  <cols>
    <col min="1" max="1" width="41" style="92" customWidth="1"/>
    <col min="2" max="2" width="10.66015625" style="102" customWidth="1"/>
    <col min="3" max="16" width="11.5" style="92" customWidth="1"/>
    <col min="17" max="18" width="11.5" style="0" customWidth="1"/>
    <col min="19" max="19" width="9.16015625" style="92" hidden="1" customWidth="1"/>
    <col min="20" max="20" width="9.16015625" style="92" customWidth="1"/>
    <col min="21" max="21" width="6.66015625" style="92" customWidth="1"/>
    <col min="22" max="25" width="10.83203125" style="92" customWidth="1"/>
    <col min="26" max="16384" width="10.66015625" style="92" customWidth="1"/>
  </cols>
  <sheetData>
    <row r="1" spans="1:19" s="5" customFormat="1" ht="43.5" customHeight="1">
      <c r="A1" s="1349" t="str">
        <f>'t1'!A1</f>
        <v>CNEL - anno 2018</v>
      </c>
      <c r="B1" s="1349"/>
      <c r="C1" s="1349"/>
      <c r="D1" s="1349"/>
      <c r="E1" s="1349"/>
      <c r="F1" s="1349"/>
      <c r="G1" s="1349"/>
      <c r="H1" s="1349"/>
      <c r="I1" s="1349"/>
      <c r="J1" s="1349"/>
      <c r="K1" s="1349"/>
      <c r="L1" s="1349"/>
      <c r="M1" s="1349"/>
      <c r="N1" s="1349"/>
      <c r="O1" s="3"/>
      <c r="P1" s="318"/>
      <c r="Q1"/>
      <c r="R1"/>
      <c r="S1"/>
    </row>
    <row r="2" spans="1:19" s="5" customFormat="1" ht="30" customHeight="1" thickBot="1">
      <c r="A2" s="317"/>
      <c r="B2" s="2"/>
      <c r="C2" s="3"/>
      <c r="D2" s="3"/>
      <c r="E2" s="3"/>
      <c r="F2" s="1350"/>
      <c r="G2" s="1350"/>
      <c r="H2" s="1350"/>
      <c r="I2" s="1350"/>
      <c r="J2" s="1350"/>
      <c r="K2" s="1350"/>
      <c r="L2" s="1350"/>
      <c r="M2" s="1350"/>
      <c r="N2" s="1350"/>
      <c r="O2" s="1350"/>
      <c r="P2" s="1350"/>
      <c r="Q2"/>
      <c r="R2"/>
      <c r="S2"/>
    </row>
    <row r="3" spans="1:20" ht="18.75" customHeight="1" thickBot="1">
      <c r="A3" s="93"/>
      <c r="B3" s="94"/>
      <c r="C3" s="144" t="s">
        <v>143</v>
      </c>
      <c r="D3" s="145"/>
      <c r="E3" s="145"/>
      <c r="F3" s="146"/>
      <c r="G3" s="145"/>
      <c r="H3" s="145"/>
      <c r="I3" s="145"/>
      <c r="J3" s="145"/>
      <c r="K3" s="145"/>
      <c r="L3" s="145"/>
      <c r="M3" s="1354" t="s">
        <v>144</v>
      </c>
      <c r="N3" s="1355"/>
      <c r="O3" s="1355"/>
      <c r="P3" s="1355"/>
      <c r="Q3" s="1355"/>
      <c r="R3" s="1356"/>
      <c r="S3"/>
      <c r="T3"/>
    </row>
    <row r="4" spans="1:20" ht="21.75" customHeight="1" thickTop="1">
      <c r="A4" s="288" t="s">
        <v>141</v>
      </c>
      <c r="B4" s="289" t="s">
        <v>74</v>
      </c>
      <c r="C4" s="147" t="s">
        <v>189</v>
      </c>
      <c r="D4" s="148"/>
      <c r="E4" s="1351" t="s">
        <v>103</v>
      </c>
      <c r="F4" s="1352"/>
      <c r="G4" s="1353" t="s">
        <v>56</v>
      </c>
      <c r="H4" s="1353"/>
      <c r="I4" s="1353" t="s">
        <v>771</v>
      </c>
      <c r="J4" s="1353"/>
      <c r="K4" s="1357" t="s">
        <v>772</v>
      </c>
      <c r="L4" s="1358"/>
      <c r="M4" s="147" t="s">
        <v>189</v>
      </c>
      <c r="N4" s="149"/>
      <c r="O4" s="150" t="s">
        <v>103</v>
      </c>
      <c r="P4" s="149"/>
      <c r="Q4" s="150" t="s">
        <v>56</v>
      </c>
      <c r="R4" s="149"/>
      <c r="S4"/>
      <c r="T4"/>
    </row>
    <row r="5" spans="1:20" ht="10.5" thickBot="1">
      <c r="A5" s="891" t="s">
        <v>645</v>
      </c>
      <c r="B5" s="290"/>
      <c r="C5" s="151" t="s">
        <v>75</v>
      </c>
      <c r="D5" s="152" t="s">
        <v>76</v>
      </c>
      <c r="E5" s="153" t="s">
        <v>75</v>
      </c>
      <c r="F5" s="152" t="s">
        <v>76</v>
      </c>
      <c r="G5" s="153" t="s">
        <v>75</v>
      </c>
      <c r="H5" s="152" t="s">
        <v>76</v>
      </c>
      <c r="I5" s="153" t="s">
        <v>75</v>
      </c>
      <c r="J5" s="152" t="s">
        <v>76</v>
      </c>
      <c r="K5" s="153" t="s">
        <v>75</v>
      </c>
      <c r="L5" s="152" t="s">
        <v>76</v>
      </c>
      <c r="M5" s="154" t="s">
        <v>75</v>
      </c>
      <c r="N5" s="155" t="s">
        <v>76</v>
      </c>
      <c r="O5" s="156" t="s">
        <v>75</v>
      </c>
      <c r="P5" s="155" t="s">
        <v>76</v>
      </c>
      <c r="Q5" s="156" t="s">
        <v>75</v>
      </c>
      <c r="R5" s="155" t="s">
        <v>76</v>
      </c>
      <c r="S5"/>
      <c r="T5"/>
    </row>
    <row r="6" spans="1:20" ht="12.75" customHeight="1" thickTop="1">
      <c r="A6" s="25" t="str">
        <f>'t1'!A6</f>
        <v>DIRIGENTE I FASCIA</v>
      </c>
      <c r="B6" s="291" t="str">
        <f>'t1'!B6</f>
        <v>0D0077</v>
      </c>
      <c r="C6" s="231"/>
      <c r="D6" s="232"/>
      <c r="E6" s="233"/>
      <c r="F6" s="539"/>
      <c r="G6" s="541"/>
      <c r="H6" s="232"/>
      <c r="I6" s="541"/>
      <c r="J6" s="232"/>
      <c r="K6" s="541"/>
      <c r="L6" s="232"/>
      <c r="M6" s="234"/>
      <c r="N6" s="235"/>
      <c r="O6" s="236"/>
      <c r="P6" s="633"/>
      <c r="Q6" s="634"/>
      <c r="R6" s="615"/>
      <c r="S6">
        <f>'t1'!M6</f>
        <v>0</v>
      </c>
      <c r="T6"/>
    </row>
    <row r="7" spans="1:20" ht="12.75" customHeight="1">
      <c r="A7" s="24" t="str">
        <f>'t1'!A7</f>
        <v>DIRIGENTE I FASCIA A TEMPO DETERM.</v>
      </c>
      <c r="B7" s="292" t="str">
        <f>'t1'!B7</f>
        <v>0D0078</v>
      </c>
      <c r="C7" s="231"/>
      <c r="D7" s="232"/>
      <c r="E7" s="233"/>
      <c r="F7" s="539"/>
      <c r="G7" s="240"/>
      <c r="H7" s="232"/>
      <c r="I7" s="240"/>
      <c r="J7" s="232"/>
      <c r="K7" s="240"/>
      <c r="L7" s="232"/>
      <c r="M7" s="234"/>
      <c r="N7" s="235"/>
      <c r="O7" s="236"/>
      <c r="P7" s="635"/>
      <c r="Q7" s="636"/>
      <c r="R7" s="616"/>
      <c r="S7">
        <f>'t1'!M7</f>
        <v>0</v>
      </c>
      <c r="T7"/>
    </row>
    <row r="8" spans="1:20" ht="12.75" customHeight="1">
      <c r="A8" s="24" t="str">
        <f>'t1'!A8</f>
        <v>DIRIGENTE II FASCIA</v>
      </c>
      <c r="B8" s="292" t="str">
        <f>'t1'!B8</f>
        <v>0D0079</v>
      </c>
      <c r="C8" s="231"/>
      <c r="D8" s="232"/>
      <c r="E8" s="233"/>
      <c r="F8" s="539"/>
      <c r="G8" s="240"/>
      <c r="H8" s="232"/>
      <c r="I8" s="240"/>
      <c r="J8" s="232"/>
      <c r="K8" s="240"/>
      <c r="L8" s="232"/>
      <c r="M8" s="234"/>
      <c r="N8" s="235"/>
      <c r="O8" s="236"/>
      <c r="P8" s="635"/>
      <c r="Q8" s="636"/>
      <c r="R8" s="616"/>
      <c r="S8">
        <f>'t1'!M8</f>
        <v>0</v>
      </c>
      <c r="T8"/>
    </row>
    <row r="9" spans="1:20" ht="12.75" customHeight="1">
      <c r="A9" s="24" t="str">
        <f>'t1'!A9</f>
        <v>DIRIGENTE II FASCIA A TEMPO DETERM.</v>
      </c>
      <c r="B9" s="292" t="str">
        <f>'t1'!B9</f>
        <v>0D0080</v>
      </c>
      <c r="C9" s="231"/>
      <c r="D9" s="232"/>
      <c r="E9" s="233"/>
      <c r="F9" s="539"/>
      <c r="G9" s="240"/>
      <c r="H9" s="232"/>
      <c r="I9" s="240"/>
      <c r="J9" s="232"/>
      <c r="K9" s="240"/>
      <c r="L9" s="232"/>
      <c r="M9" s="234"/>
      <c r="N9" s="235"/>
      <c r="O9" s="236"/>
      <c r="P9" s="635"/>
      <c r="Q9" s="636"/>
      <c r="R9" s="616"/>
      <c r="S9">
        <f>'t1'!M9</f>
        <v>0</v>
      </c>
      <c r="T9"/>
    </row>
    <row r="10" spans="1:20" ht="12.75" customHeight="1">
      <c r="A10" s="24" t="str">
        <f>'t1'!A10</f>
        <v>POSIZIONE ECONOMICA C5</v>
      </c>
      <c r="B10" s="292" t="str">
        <f>'t1'!B10</f>
        <v>046000</v>
      </c>
      <c r="C10" s="231"/>
      <c r="D10" s="232"/>
      <c r="E10" s="233"/>
      <c r="F10" s="539"/>
      <c r="G10" s="240"/>
      <c r="H10" s="232"/>
      <c r="I10" s="240"/>
      <c r="J10" s="232"/>
      <c r="K10" s="240"/>
      <c r="L10" s="232"/>
      <c r="M10" s="234"/>
      <c r="N10" s="235"/>
      <c r="O10" s="236"/>
      <c r="P10" s="635"/>
      <c r="Q10" s="636"/>
      <c r="R10" s="616"/>
      <c r="S10">
        <f>'t1'!M10</f>
        <v>0</v>
      </c>
      <c r="T10"/>
    </row>
    <row r="11" spans="1:20" ht="12.75" customHeight="1">
      <c r="A11" s="24" t="str">
        <f>'t1'!A11</f>
        <v>POSIZIONE ECONOMICA C4</v>
      </c>
      <c r="B11" s="292" t="str">
        <f>'t1'!B11</f>
        <v>045000</v>
      </c>
      <c r="C11" s="231"/>
      <c r="D11" s="232"/>
      <c r="E11" s="233"/>
      <c r="F11" s="539"/>
      <c r="G11" s="240"/>
      <c r="H11" s="232"/>
      <c r="I11" s="240"/>
      <c r="J11" s="232"/>
      <c r="K11" s="240"/>
      <c r="L11" s="232"/>
      <c r="M11" s="234"/>
      <c r="N11" s="235"/>
      <c r="O11" s="236"/>
      <c r="P11" s="635"/>
      <c r="Q11" s="636"/>
      <c r="R11" s="616"/>
      <c r="S11">
        <f>'t1'!M11</f>
        <v>0</v>
      </c>
      <c r="T11"/>
    </row>
    <row r="12" spans="1:20" ht="12.75" customHeight="1">
      <c r="A12" s="24" t="str">
        <f>'t1'!A12</f>
        <v>POSIZIONE ECONOMICA C3</v>
      </c>
      <c r="B12" s="292" t="str">
        <f>'t1'!B12</f>
        <v>043000</v>
      </c>
      <c r="C12" s="231"/>
      <c r="D12" s="232"/>
      <c r="E12" s="233"/>
      <c r="F12" s="539"/>
      <c r="G12" s="240"/>
      <c r="H12" s="232"/>
      <c r="I12" s="240"/>
      <c r="J12" s="232"/>
      <c r="K12" s="240"/>
      <c r="L12" s="232"/>
      <c r="M12" s="234"/>
      <c r="N12" s="235"/>
      <c r="O12" s="236"/>
      <c r="P12" s="635"/>
      <c r="Q12" s="636"/>
      <c r="R12" s="616"/>
      <c r="S12">
        <f>'t1'!M12</f>
        <v>0</v>
      </c>
      <c r="T12"/>
    </row>
    <row r="13" spans="1:20" ht="12.75" customHeight="1">
      <c r="A13" s="24" t="str">
        <f>'t1'!A13</f>
        <v>POSIZIONE ECONOMICA C2</v>
      </c>
      <c r="B13" s="292" t="str">
        <f>'t1'!B13</f>
        <v>042000</v>
      </c>
      <c r="C13" s="231"/>
      <c r="D13" s="232"/>
      <c r="E13" s="233"/>
      <c r="F13" s="539"/>
      <c r="G13" s="240"/>
      <c r="H13" s="232"/>
      <c r="I13" s="240"/>
      <c r="J13" s="232"/>
      <c r="K13" s="240"/>
      <c r="L13" s="232"/>
      <c r="M13" s="234"/>
      <c r="N13" s="235"/>
      <c r="O13" s="236"/>
      <c r="P13" s="635"/>
      <c r="Q13" s="636"/>
      <c r="R13" s="616"/>
      <c r="S13">
        <f>'t1'!M13</f>
        <v>0</v>
      </c>
      <c r="T13"/>
    </row>
    <row r="14" spans="1:20" ht="12.75" customHeight="1">
      <c r="A14" s="24" t="str">
        <f>'t1'!A14</f>
        <v>POSIZIONE ECONOMICA C1</v>
      </c>
      <c r="B14" s="292" t="str">
        <f>'t1'!B14</f>
        <v>040000</v>
      </c>
      <c r="C14" s="231"/>
      <c r="D14" s="232"/>
      <c r="E14" s="233"/>
      <c r="F14" s="539"/>
      <c r="G14" s="240"/>
      <c r="H14" s="232"/>
      <c r="I14" s="240"/>
      <c r="J14" s="232"/>
      <c r="K14" s="240"/>
      <c r="L14" s="232"/>
      <c r="M14" s="234"/>
      <c r="N14" s="235"/>
      <c r="O14" s="236"/>
      <c r="P14" s="635"/>
      <c r="Q14" s="636"/>
      <c r="R14" s="616"/>
      <c r="S14">
        <f>'t1'!M14</f>
        <v>0</v>
      </c>
      <c r="T14"/>
    </row>
    <row r="15" spans="1:20" ht="12.75" customHeight="1">
      <c r="A15" s="24" t="str">
        <f>'t1'!A15</f>
        <v>POSIZIONE ECONOMICA B4</v>
      </c>
      <c r="B15" s="292" t="str">
        <f>'t1'!B15</f>
        <v>036000</v>
      </c>
      <c r="C15" s="231"/>
      <c r="D15" s="232"/>
      <c r="E15" s="233"/>
      <c r="F15" s="539"/>
      <c r="G15" s="240"/>
      <c r="H15" s="232"/>
      <c r="I15" s="240"/>
      <c r="J15" s="232"/>
      <c r="K15" s="240"/>
      <c r="L15" s="232"/>
      <c r="M15" s="234"/>
      <c r="N15" s="235"/>
      <c r="O15" s="236"/>
      <c r="P15" s="635"/>
      <c r="Q15" s="636"/>
      <c r="R15" s="616"/>
      <c r="S15">
        <f>'t1'!M15</f>
        <v>0</v>
      </c>
      <c r="T15"/>
    </row>
    <row r="16" spans="1:20" ht="12.75" customHeight="1">
      <c r="A16" s="24" t="str">
        <f>'t1'!A16</f>
        <v>POSIZIONE ECONOMICA B3</v>
      </c>
      <c r="B16" s="292" t="str">
        <f>'t1'!B16</f>
        <v>034000</v>
      </c>
      <c r="C16" s="231"/>
      <c r="D16" s="232"/>
      <c r="E16" s="233"/>
      <c r="F16" s="539"/>
      <c r="G16" s="240"/>
      <c r="H16" s="232"/>
      <c r="I16" s="240"/>
      <c r="J16" s="232"/>
      <c r="K16" s="240"/>
      <c r="L16" s="232"/>
      <c r="M16" s="234"/>
      <c r="N16" s="235"/>
      <c r="O16" s="236"/>
      <c r="P16" s="635"/>
      <c r="Q16" s="636"/>
      <c r="R16" s="616"/>
      <c r="S16">
        <f>'t1'!M16</f>
        <v>0</v>
      </c>
      <c r="T16"/>
    </row>
    <row r="17" spans="1:20" ht="12.75" customHeight="1">
      <c r="A17" s="24" t="str">
        <f>'t1'!A17</f>
        <v>POSIZIONE ECONOMICA B2</v>
      </c>
      <c r="B17" s="292" t="str">
        <f>'t1'!B17</f>
        <v>032000</v>
      </c>
      <c r="C17" s="231"/>
      <c r="D17" s="232"/>
      <c r="E17" s="233"/>
      <c r="F17" s="539"/>
      <c r="G17" s="240"/>
      <c r="H17" s="232"/>
      <c r="I17" s="240"/>
      <c r="J17" s="232"/>
      <c r="K17" s="240"/>
      <c r="L17" s="232"/>
      <c r="M17" s="234"/>
      <c r="N17" s="235"/>
      <c r="O17" s="236"/>
      <c r="P17" s="635"/>
      <c r="Q17" s="636"/>
      <c r="R17" s="616"/>
      <c r="S17">
        <f>'t1'!M17</f>
        <v>0</v>
      </c>
      <c r="T17"/>
    </row>
    <row r="18" spans="1:20" ht="12.75" customHeight="1">
      <c r="A18" s="24" t="str">
        <f>'t1'!A18</f>
        <v>POSIZIONE ECONOMICA B1</v>
      </c>
      <c r="B18" s="292" t="str">
        <f>'t1'!B18</f>
        <v>030000</v>
      </c>
      <c r="C18" s="231"/>
      <c r="D18" s="232"/>
      <c r="E18" s="233"/>
      <c r="F18" s="539"/>
      <c r="G18" s="240"/>
      <c r="H18" s="232"/>
      <c r="I18" s="240"/>
      <c r="J18" s="232"/>
      <c r="K18" s="240"/>
      <c r="L18" s="232"/>
      <c r="M18" s="234"/>
      <c r="N18" s="235"/>
      <c r="O18" s="236"/>
      <c r="P18" s="635"/>
      <c r="Q18" s="636"/>
      <c r="R18" s="616"/>
      <c r="S18">
        <f>'t1'!M18</f>
        <v>0</v>
      </c>
      <c r="T18"/>
    </row>
    <row r="19" spans="1:20" ht="12.75" customHeight="1">
      <c r="A19" s="24" t="str">
        <f>'t1'!A19</f>
        <v>POSIZIONE ECONOMICA A3</v>
      </c>
      <c r="B19" s="292" t="str">
        <f>'t1'!B19</f>
        <v>027000</v>
      </c>
      <c r="C19" s="231"/>
      <c r="D19" s="232"/>
      <c r="E19" s="233"/>
      <c r="F19" s="539"/>
      <c r="G19" s="240"/>
      <c r="H19" s="232"/>
      <c r="I19" s="240"/>
      <c r="J19" s="232"/>
      <c r="K19" s="240"/>
      <c r="L19" s="232"/>
      <c r="M19" s="234"/>
      <c r="N19" s="235"/>
      <c r="O19" s="236"/>
      <c r="P19" s="635"/>
      <c r="Q19" s="636"/>
      <c r="R19" s="616"/>
      <c r="S19">
        <f>'t1'!M19</f>
        <v>0</v>
      </c>
      <c r="T19"/>
    </row>
    <row r="20" spans="1:20" ht="12.75" customHeight="1">
      <c r="A20" s="24" t="str">
        <f>'t1'!A20</f>
        <v>POSIZIONE ECONOMICA A2</v>
      </c>
      <c r="B20" s="292" t="str">
        <f>'t1'!B20</f>
        <v>025000</v>
      </c>
      <c r="C20" s="231"/>
      <c r="D20" s="232"/>
      <c r="E20" s="233"/>
      <c r="F20" s="539"/>
      <c r="G20" s="240"/>
      <c r="H20" s="232"/>
      <c r="I20" s="240"/>
      <c r="J20" s="232"/>
      <c r="K20" s="240"/>
      <c r="L20" s="232"/>
      <c r="M20" s="234"/>
      <c r="N20" s="235"/>
      <c r="O20" s="236"/>
      <c r="P20" s="635"/>
      <c r="Q20" s="636"/>
      <c r="R20" s="616"/>
      <c r="S20">
        <f>'t1'!M20</f>
        <v>0</v>
      </c>
      <c r="T20"/>
    </row>
    <row r="21" spans="1:20" ht="12.75" customHeight="1">
      <c r="A21" s="24" t="str">
        <f>'t1'!A21</f>
        <v>POSIZIONE ECONOMICA A1</v>
      </c>
      <c r="B21" s="292" t="str">
        <f>'t1'!B21</f>
        <v>023000</v>
      </c>
      <c r="C21" s="231"/>
      <c r="D21" s="232"/>
      <c r="E21" s="233"/>
      <c r="F21" s="539"/>
      <c r="G21" s="240"/>
      <c r="H21" s="232"/>
      <c r="I21" s="240"/>
      <c r="J21" s="232"/>
      <c r="K21" s="240"/>
      <c r="L21" s="232"/>
      <c r="M21" s="234"/>
      <c r="N21" s="235"/>
      <c r="O21" s="236"/>
      <c r="P21" s="635"/>
      <c r="Q21" s="636"/>
      <c r="R21" s="616"/>
      <c r="S21">
        <f>'t1'!M21</f>
        <v>0</v>
      </c>
      <c r="T21"/>
    </row>
    <row r="22" spans="1:20" ht="12.75" customHeight="1" thickBot="1">
      <c r="A22" s="24" t="str">
        <f>'t1'!A22</f>
        <v>CONTRATTISTI (a)</v>
      </c>
      <c r="B22" s="292" t="str">
        <f>'t1'!B22</f>
        <v>000061</v>
      </c>
      <c r="C22" s="231"/>
      <c r="D22" s="232"/>
      <c r="E22" s="233"/>
      <c r="F22" s="539"/>
      <c r="G22" s="240"/>
      <c r="H22" s="232"/>
      <c r="I22" s="240"/>
      <c r="J22" s="232"/>
      <c r="K22" s="240"/>
      <c r="L22" s="232"/>
      <c r="M22" s="234"/>
      <c r="N22" s="235"/>
      <c r="O22" s="236"/>
      <c r="P22" s="635"/>
      <c r="Q22" s="636"/>
      <c r="R22" s="616"/>
      <c r="S22">
        <f>'t1'!M22</f>
        <v>0</v>
      </c>
      <c r="T22"/>
    </row>
    <row r="23" spans="1:20" ht="15.75" customHeight="1" thickBot="1" thickTop="1">
      <c r="A23" s="100" t="s">
        <v>77</v>
      </c>
      <c r="B23" s="171"/>
      <c r="C23" s="437">
        <f aca="true" t="shared" si="0" ref="C23:R23">SUM(C6:C22)</f>
        <v>0</v>
      </c>
      <c r="D23" s="438">
        <f t="shared" si="0"/>
        <v>0</v>
      </c>
      <c r="E23" s="439">
        <f t="shared" si="0"/>
        <v>0</v>
      </c>
      <c r="F23" s="540">
        <f t="shared" si="0"/>
        <v>0</v>
      </c>
      <c r="G23" s="439">
        <f t="shared" si="0"/>
        <v>0</v>
      </c>
      <c r="H23" s="538">
        <f t="shared" si="0"/>
        <v>0</v>
      </c>
      <c r="I23" s="439">
        <f t="shared" si="0"/>
        <v>0</v>
      </c>
      <c r="J23" s="538">
        <f t="shared" si="0"/>
        <v>0</v>
      </c>
      <c r="K23" s="439">
        <f t="shared" si="0"/>
        <v>0</v>
      </c>
      <c r="L23" s="538">
        <f t="shared" si="0"/>
        <v>0</v>
      </c>
      <c r="M23" s="437">
        <f t="shared" si="0"/>
        <v>0</v>
      </c>
      <c r="N23" s="438">
        <f t="shared" si="0"/>
        <v>0</v>
      </c>
      <c r="O23" s="439">
        <f t="shared" si="0"/>
        <v>0</v>
      </c>
      <c r="P23" s="438">
        <f t="shared" si="0"/>
        <v>0</v>
      </c>
      <c r="Q23" s="637">
        <f t="shared" si="0"/>
        <v>0</v>
      </c>
      <c r="R23" s="554">
        <f t="shared" si="0"/>
        <v>0</v>
      </c>
      <c r="S23"/>
      <c r="T23"/>
    </row>
    <row r="24" spans="1:16" ht="9.75">
      <c r="A24" s="26"/>
      <c r="B24" s="172"/>
      <c r="C24" s="5"/>
      <c r="D24" s="5"/>
      <c r="E24" s="5"/>
      <c r="F24" s="5"/>
      <c r="G24" s="5"/>
      <c r="H24" s="5"/>
      <c r="I24" s="5"/>
      <c r="J24" s="5"/>
      <c r="K24" s="5"/>
      <c r="L24" s="5"/>
      <c r="M24" s="5"/>
      <c r="N24" s="5"/>
      <c r="O24" s="5"/>
      <c r="P24" s="5"/>
    </row>
    <row r="25" spans="1:24" ht="9.75">
      <c r="A25" s="26" t="str">
        <f>'t1'!$A$24</f>
        <v>(a) personale a tempo indeterminato al quale viene applicato un contratto di lavoro di tipo privatistico (es.:tipografico,chimico,edile,metalmeccanico,portierato, ecc.)</v>
      </c>
      <c r="B25" s="172"/>
      <c r="C25" s="5"/>
      <c r="D25" s="174"/>
      <c r="E25" s="5"/>
      <c r="F25" s="5"/>
      <c r="G25" s="5"/>
      <c r="H25" s="5"/>
      <c r="I25" s="5"/>
      <c r="J25" s="5"/>
      <c r="K25" s="5"/>
      <c r="L25" s="5"/>
      <c r="M25" s="5"/>
      <c r="N25" s="5"/>
      <c r="O25" s="5"/>
      <c r="P25" s="5"/>
      <c r="S25" s="5"/>
      <c r="T25" s="5"/>
      <c r="U25" s="5"/>
      <c r="V25" s="5"/>
      <c r="W25" s="5"/>
      <c r="X25" s="5"/>
    </row>
    <row r="26" spans="1:2" s="5" customFormat="1" ht="9.75">
      <c r="A26" s="26"/>
      <c r="B26" s="7"/>
    </row>
    <row r="27" spans="1:2" ht="9.75">
      <c r="A27" s="26" t="s">
        <v>247</v>
      </c>
      <c r="B27" s="173"/>
    </row>
    <row r="28" ht="9.75">
      <c r="A28" s="81" t="s">
        <v>145</v>
      </c>
    </row>
  </sheetData>
  <sheetProtection password="EA98" sheet="1" formatColumns="0" selectLockedCells="1"/>
  <mergeCells count="7">
    <mergeCell ref="A1:N1"/>
    <mergeCell ref="F2:P2"/>
    <mergeCell ref="E4:F4"/>
    <mergeCell ref="G4:H4"/>
    <mergeCell ref="M3:R3"/>
    <mergeCell ref="I4:J4"/>
    <mergeCell ref="K4:L4"/>
  </mergeCells>
  <conditionalFormatting sqref="A6:L22">
    <cfRule type="expression" priority="1" dxfId="3" stopIfTrue="1">
      <formula>$S6&gt;0</formula>
    </cfRule>
  </conditionalFormatting>
  <printOptions horizontalCentered="1" verticalCentered="1"/>
  <pageMargins left="0" right="0" top="0.1968503937007874" bottom="0.15748031496062992" header="0.1968503937007874" footer="0.1968503937007874"/>
  <pageSetup horizontalDpi="300" verticalDpi="300" orientation="landscape" paperSize="9" scale="75" r:id="rId2"/>
  <drawing r:id="rId1"/>
</worksheet>
</file>

<file path=xl/worksheets/sheet7.xml><?xml version="1.0" encoding="utf-8"?>
<worksheet xmlns="http://schemas.openxmlformats.org/spreadsheetml/2006/main" xmlns:r="http://schemas.openxmlformats.org/officeDocument/2006/relationships">
  <sheetPr codeName="Foglio11"/>
  <dimension ref="A1:V34"/>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C6" sqref="C6"/>
    </sheetView>
  </sheetViews>
  <sheetFormatPr defaultColWidth="9.33203125" defaultRowHeight="10.5"/>
  <cols>
    <col min="1" max="1" width="38.83203125" style="5" customWidth="1"/>
    <col min="2" max="2" width="9.16015625" style="7" customWidth="1"/>
    <col min="3" max="5" width="5" style="7" customWidth="1"/>
    <col min="6" max="19" width="5" style="5" customWidth="1"/>
    <col min="20" max="20" width="12" style="5" customWidth="1"/>
    <col min="21" max="43" width="3.83203125" style="5" customWidth="1"/>
    <col min="44" max="16384" width="9.33203125" style="5" customWidth="1"/>
  </cols>
  <sheetData>
    <row r="1" spans="1:20" ht="43.5" customHeight="1">
      <c r="A1" s="1349" t="str">
        <f>'t1'!A1</f>
        <v>CNEL - anno 2018</v>
      </c>
      <c r="B1" s="1349"/>
      <c r="C1" s="1349"/>
      <c r="D1" s="1349"/>
      <c r="E1" s="1349"/>
      <c r="F1" s="1349"/>
      <c r="G1" s="1349"/>
      <c r="H1" s="1349"/>
      <c r="I1" s="1349"/>
      <c r="J1" s="1349"/>
      <c r="K1" s="1349"/>
      <c r="L1" s="1349"/>
      <c r="M1" s="1349"/>
      <c r="N1" s="1349"/>
      <c r="O1" s="1349"/>
      <c r="P1" s="1349"/>
      <c r="Q1" s="1349"/>
      <c r="R1" s="1349"/>
      <c r="S1" s="1349"/>
      <c r="T1" s="318"/>
    </row>
    <row r="2" spans="1:20" ht="30" customHeight="1" thickBot="1">
      <c r="A2" s="1"/>
      <c r="B2" s="2"/>
      <c r="C2" s="2"/>
      <c r="D2" s="2"/>
      <c r="E2" s="2"/>
      <c r="F2" s="3"/>
      <c r="G2" s="3"/>
      <c r="H2" s="3"/>
      <c r="I2" s="3"/>
      <c r="J2" s="3"/>
      <c r="K2" s="3"/>
      <c r="L2" s="3"/>
      <c r="M2" s="3"/>
      <c r="N2" s="3"/>
      <c r="O2" s="3"/>
      <c r="P2" s="3"/>
      <c r="Q2" s="3"/>
      <c r="R2" s="3"/>
      <c r="S2" s="3"/>
      <c r="T2" s="491"/>
    </row>
    <row r="3" spans="1:20" ht="13.5" thickBot="1">
      <c r="A3" s="311"/>
      <c r="B3" s="13"/>
      <c r="C3" s="1361" t="s">
        <v>73</v>
      </c>
      <c r="D3" s="1361"/>
      <c r="E3" s="1361"/>
      <c r="F3" s="1361"/>
      <c r="G3" s="1361"/>
      <c r="H3" s="1361"/>
      <c r="I3" s="1361"/>
      <c r="J3" s="1361"/>
      <c r="K3" s="1361"/>
      <c r="L3" s="1361"/>
      <c r="M3" s="1361"/>
      <c r="N3" s="1361"/>
      <c r="O3" s="1361"/>
      <c r="P3" s="1361"/>
      <c r="Q3" s="1361"/>
      <c r="R3" s="1361"/>
      <c r="S3" s="1361"/>
      <c r="T3" s="229"/>
    </row>
    <row r="4" spans="1:20" s="104" customFormat="1" ht="16.5" customHeight="1" thickTop="1">
      <c r="A4" s="314"/>
      <c r="B4" s="312"/>
      <c r="C4" s="1359" t="s">
        <v>183</v>
      </c>
      <c r="D4" s="1360"/>
      <c r="E4" s="1360"/>
      <c r="F4" s="1360"/>
      <c r="G4" s="1360"/>
      <c r="H4" s="1360"/>
      <c r="I4" s="1360"/>
      <c r="J4" s="1360"/>
      <c r="K4" s="1360"/>
      <c r="L4" s="1360"/>
      <c r="M4" s="1360"/>
      <c r="N4" s="1360"/>
      <c r="O4" s="1360"/>
      <c r="P4" s="1360"/>
      <c r="Q4" s="1360"/>
      <c r="R4" s="1360"/>
      <c r="S4" s="1360"/>
      <c r="T4" s="315"/>
    </row>
    <row r="5" spans="1:20" ht="63.75" customHeight="1" thickBot="1">
      <c r="A5" s="310" t="s">
        <v>258</v>
      </c>
      <c r="B5" s="313" t="s">
        <v>259</v>
      </c>
      <c r="C5" s="250" t="str">
        <f>B6</f>
        <v>0D0077</v>
      </c>
      <c r="D5" s="251" t="str">
        <f>B7</f>
        <v>0D0078</v>
      </c>
      <c r="E5" s="251" t="str">
        <f>B8</f>
        <v>0D0079</v>
      </c>
      <c r="F5" s="251" t="str">
        <f>B9</f>
        <v>0D0080</v>
      </c>
      <c r="G5" s="251" t="str">
        <f>B10</f>
        <v>046000</v>
      </c>
      <c r="H5" s="251" t="str">
        <f>B11</f>
        <v>045000</v>
      </c>
      <c r="I5" s="251" t="str">
        <f>B12</f>
        <v>043000</v>
      </c>
      <c r="J5" s="251" t="str">
        <f>B13</f>
        <v>042000</v>
      </c>
      <c r="K5" s="251" t="str">
        <f>B14</f>
        <v>040000</v>
      </c>
      <c r="L5" s="252" t="str">
        <f>B15</f>
        <v>036000</v>
      </c>
      <c r="M5" s="252" t="str">
        <f>B16</f>
        <v>034000</v>
      </c>
      <c r="N5" s="251" t="str">
        <f>B17</f>
        <v>032000</v>
      </c>
      <c r="O5" s="251" t="str">
        <f>B18</f>
        <v>030000</v>
      </c>
      <c r="P5" s="251" t="str">
        <f>B19</f>
        <v>027000</v>
      </c>
      <c r="Q5" s="251" t="str">
        <f>B20</f>
        <v>025000</v>
      </c>
      <c r="R5" s="251" t="str">
        <f>B21</f>
        <v>023000</v>
      </c>
      <c r="S5" s="251" t="str">
        <f>B22</f>
        <v>000061</v>
      </c>
      <c r="T5" s="316" t="s">
        <v>140</v>
      </c>
    </row>
    <row r="6" spans="1:20" ht="12" customHeight="1" thickTop="1">
      <c r="A6" s="24" t="str">
        <f>'t1'!A6</f>
        <v>DIRIGENTE I FASCIA</v>
      </c>
      <c r="B6" s="157" t="str">
        <f>'t1'!B6</f>
        <v>0D0077</v>
      </c>
      <c r="C6" s="253"/>
      <c r="D6" s="253"/>
      <c r="E6" s="253"/>
      <c r="F6" s="254"/>
      <c r="G6" s="254"/>
      <c r="H6" s="255"/>
      <c r="I6" s="255"/>
      <c r="J6" s="255"/>
      <c r="K6" s="255"/>
      <c r="L6" s="255"/>
      <c r="M6" s="255"/>
      <c r="N6" s="255"/>
      <c r="O6" s="255"/>
      <c r="P6" s="255"/>
      <c r="Q6" s="255"/>
      <c r="R6" s="255"/>
      <c r="S6" s="255"/>
      <c r="T6" s="440">
        <f aca="true" t="shared" si="0" ref="T6:T22">SUM(C6:S6)</f>
        <v>0</v>
      </c>
    </row>
    <row r="7" spans="1:20" ht="12" customHeight="1">
      <c r="A7" s="158" t="str">
        <f>'t1'!A7</f>
        <v>DIRIGENTE I FASCIA A TEMPO DETERM.</v>
      </c>
      <c r="B7" s="230" t="str">
        <f>'t1'!B7</f>
        <v>0D0078</v>
      </c>
      <c r="C7" s="254"/>
      <c r="D7" s="254"/>
      <c r="E7" s="254"/>
      <c r="F7" s="254"/>
      <c r="G7" s="254"/>
      <c r="H7" s="255"/>
      <c r="I7" s="255"/>
      <c r="J7" s="255"/>
      <c r="K7" s="255"/>
      <c r="L7" s="255"/>
      <c r="M7" s="255"/>
      <c r="N7" s="255"/>
      <c r="O7" s="255"/>
      <c r="P7" s="255"/>
      <c r="Q7" s="255"/>
      <c r="R7" s="255"/>
      <c r="S7" s="255"/>
      <c r="T7" s="440">
        <f t="shared" si="0"/>
        <v>0</v>
      </c>
    </row>
    <row r="8" spans="1:20" ht="12" customHeight="1">
      <c r="A8" s="158" t="str">
        <f>'t1'!A8</f>
        <v>DIRIGENTE II FASCIA</v>
      </c>
      <c r="B8" s="230" t="str">
        <f>'t1'!B8</f>
        <v>0D0079</v>
      </c>
      <c r="C8" s="254"/>
      <c r="D8" s="254"/>
      <c r="E8" s="254"/>
      <c r="F8" s="254"/>
      <c r="G8" s="254"/>
      <c r="H8" s="255"/>
      <c r="I8" s="255"/>
      <c r="J8" s="255"/>
      <c r="K8" s="255"/>
      <c r="L8" s="255"/>
      <c r="M8" s="255"/>
      <c r="N8" s="255"/>
      <c r="O8" s="255"/>
      <c r="P8" s="255"/>
      <c r="Q8" s="255"/>
      <c r="R8" s="255"/>
      <c r="S8" s="255"/>
      <c r="T8" s="440">
        <f t="shared" si="0"/>
        <v>0</v>
      </c>
    </row>
    <row r="9" spans="1:20" ht="12" customHeight="1">
      <c r="A9" s="158" t="str">
        <f>'t1'!A9</f>
        <v>DIRIGENTE II FASCIA A TEMPO DETERM.</v>
      </c>
      <c r="B9" s="230" t="str">
        <f>'t1'!B9</f>
        <v>0D0080</v>
      </c>
      <c r="C9" s="254"/>
      <c r="D9" s="254"/>
      <c r="E9" s="254"/>
      <c r="F9" s="254"/>
      <c r="G9" s="254"/>
      <c r="H9" s="255"/>
      <c r="I9" s="255"/>
      <c r="J9" s="255"/>
      <c r="K9" s="255"/>
      <c r="L9" s="255"/>
      <c r="M9" s="255"/>
      <c r="N9" s="255"/>
      <c r="O9" s="255"/>
      <c r="P9" s="255"/>
      <c r="Q9" s="255"/>
      <c r="R9" s="255"/>
      <c r="S9" s="255"/>
      <c r="T9" s="440">
        <f t="shared" si="0"/>
        <v>0</v>
      </c>
    </row>
    <row r="10" spans="1:20" ht="12" customHeight="1">
      <c r="A10" s="158" t="str">
        <f>'t1'!A10</f>
        <v>POSIZIONE ECONOMICA C5</v>
      </c>
      <c r="B10" s="230" t="str">
        <f>'t1'!B10</f>
        <v>046000</v>
      </c>
      <c r="C10" s="257"/>
      <c r="D10" s="258"/>
      <c r="E10" s="258"/>
      <c r="F10" s="254"/>
      <c r="G10" s="254"/>
      <c r="H10" s="255"/>
      <c r="I10" s="255"/>
      <c r="J10" s="255"/>
      <c r="K10" s="255"/>
      <c r="L10" s="255"/>
      <c r="M10" s="255"/>
      <c r="N10" s="255"/>
      <c r="O10" s="255"/>
      <c r="P10" s="255"/>
      <c r="Q10" s="255"/>
      <c r="R10" s="255"/>
      <c r="S10" s="255"/>
      <c r="T10" s="440">
        <f t="shared" si="0"/>
        <v>0</v>
      </c>
    </row>
    <row r="11" spans="1:20" ht="12" customHeight="1">
      <c r="A11" s="158" t="str">
        <f>'t1'!A11</f>
        <v>POSIZIONE ECONOMICA C4</v>
      </c>
      <c r="B11" s="230" t="str">
        <f>'t1'!B11</f>
        <v>045000</v>
      </c>
      <c r="C11" s="257"/>
      <c r="D11" s="258"/>
      <c r="E11" s="258"/>
      <c r="F11" s="254"/>
      <c r="G11" s="254"/>
      <c r="H11" s="255"/>
      <c r="I11" s="255"/>
      <c r="J11" s="255"/>
      <c r="K11" s="255"/>
      <c r="L11" s="255"/>
      <c r="M11" s="255"/>
      <c r="N11" s="255"/>
      <c r="O11" s="255"/>
      <c r="P11" s="255"/>
      <c r="Q11" s="255"/>
      <c r="R11" s="255"/>
      <c r="S11" s="255"/>
      <c r="T11" s="440">
        <f t="shared" si="0"/>
        <v>0</v>
      </c>
    </row>
    <row r="12" spans="1:20" ht="12" customHeight="1">
      <c r="A12" s="158" t="str">
        <f>'t1'!A12</f>
        <v>POSIZIONE ECONOMICA C3</v>
      </c>
      <c r="B12" s="230" t="str">
        <f>'t1'!B12</f>
        <v>043000</v>
      </c>
      <c r="C12" s="254"/>
      <c r="D12" s="254"/>
      <c r="E12" s="254"/>
      <c r="F12" s="254"/>
      <c r="G12" s="254"/>
      <c r="H12" s="255"/>
      <c r="I12" s="255"/>
      <c r="J12" s="255"/>
      <c r="K12" s="255"/>
      <c r="L12" s="255"/>
      <c r="M12" s="255"/>
      <c r="N12" s="255"/>
      <c r="O12" s="255"/>
      <c r="P12" s="255"/>
      <c r="Q12" s="255"/>
      <c r="R12" s="255"/>
      <c r="S12" s="255"/>
      <c r="T12" s="440">
        <f t="shared" si="0"/>
        <v>0</v>
      </c>
    </row>
    <row r="13" spans="1:20" ht="12" customHeight="1">
      <c r="A13" s="158" t="str">
        <f>'t1'!A13</f>
        <v>POSIZIONE ECONOMICA C2</v>
      </c>
      <c r="B13" s="230" t="str">
        <f>'t1'!B13</f>
        <v>042000</v>
      </c>
      <c r="C13" s="259"/>
      <c r="D13" s="259"/>
      <c r="E13" s="259"/>
      <c r="F13" s="259"/>
      <c r="G13" s="259"/>
      <c r="H13" s="258"/>
      <c r="I13" s="258"/>
      <c r="J13" s="258"/>
      <c r="K13" s="258"/>
      <c r="L13" s="258"/>
      <c r="M13" s="258"/>
      <c r="N13" s="258"/>
      <c r="O13" s="258"/>
      <c r="P13" s="258"/>
      <c r="Q13" s="258"/>
      <c r="R13" s="258"/>
      <c r="S13" s="258"/>
      <c r="T13" s="440">
        <f t="shared" si="0"/>
        <v>0</v>
      </c>
    </row>
    <row r="14" spans="1:20" ht="12" customHeight="1">
      <c r="A14" s="158" t="str">
        <f>'t1'!A14</f>
        <v>POSIZIONE ECONOMICA C1</v>
      </c>
      <c r="B14" s="230" t="str">
        <f>'t1'!B14</f>
        <v>040000</v>
      </c>
      <c r="C14" s="259"/>
      <c r="D14" s="258"/>
      <c r="E14" s="258"/>
      <c r="F14" s="258"/>
      <c r="G14" s="258"/>
      <c r="H14" s="258"/>
      <c r="I14" s="258"/>
      <c r="J14" s="258"/>
      <c r="K14" s="258"/>
      <c r="L14" s="258"/>
      <c r="M14" s="258"/>
      <c r="N14" s="258"/>
      <c r="O14" s="258"/>
      <c r="P14" s="258"/>
      <c r="Q14" s="258"/>
      <c r="R14" s="258"/>
      <c r="S14" s="258"/>
      <c r="T14" s="440">
        <f t="shared" si="0"/>
        <v>0</v>
      </c>
    </row>
    <row r="15" spans="1:20" ht="12" customHeight="1">
      <c r="A15" s="158" t="str">
        <f>'t1'!A15</f>
        <v>POSIZIONE ECONOMICA B4</v>
      </c>
      <c r="B15" s="230" t="str">
        <f>'t1'!B15</f>
        <v>036000</v>
      </c>
      <c r="C15" s="259"/>
      <c r="D15" s="258"/>
      <c r="E15" s="258"/>
      <c r="F15" s="258"/>
      <c r="G15" s="258"/>
      <c r="H15" s="258"/>
      <c r="I15" s="258"/>
      <c r="J15" s="258"/>
      <c r="K15" s="258"/>
      <c r="L15" s="258"/>
      <c r="M15" s="258"/>
      <c r="N15" s="258"/>
      <c r="O15" s="258"/>
      <c r="P15" s="258"/>
      <c r="Q15" s="258"/>
      <c r="R15" s="258"/>
      <c r="S15" s="258"/>
      <c r="T15" s="440">
        <f t="shared" si="0"/>
        <v>0</v>
      </c>
    </row>
    <row r="16" spans="1:20" ht="12" customHeight="1">
      <c r="A16" s="158" t="str">
        <f>'t1'!A16</f>
        <v>POSIZIONE ECONOMICA B3</v>
      </c>
      <c r="B16" s="230" t="str">
        <f>'t1'!B16</f>
        <v>034000</v>
      </c>
      <c r="C16" s="259"/>
      <c r="D16" s="254"/>
      <c r="E16" s="254"/>
      <c r="F16" s="254"/>
      <c r="G16" s="254"/>
      <c r="H16" s="255"/>
      <c r="I16" s="255"/>
      <c r="J16" s="255"/>
      <c r="K16" s="255"/>
      <c r="L16" s="255"/>
      <c r="M16" s="255"/>
      <c r="N16" s="255"/>
      <c r="O16" s="255"/>
      <c r="P16" s="255"/>
      <c r="Q16" s="255"/>
      <c r="R16" s="255"/>
      <c r="S16" s="255"/>
      <c r="T16" s="440">
        <f t="shared" si="0"/>
        <v>0</v>
      </c>
    </row>
    <row r="17" spans="1:20" ht="12" customHeight="1">
      <c r="A17" s="158" t="str">
        <f>'t1'!A17</f>
        <v>POSIZIONE ECONOMICA B2</v>
      </c>
      <c r="B17" s="230" t="str">
        <f>'t1'!B17</f>
        <v>032000</v>
      </c>
      <c r="C17" s="259"/>
      <c r="D17" s="258"/>
      <c r="E17" s="258"/>
      <c r="F17" s="258"/>
      <c r="G17" s="258"/>
      <c r="H17" s="258"/>
      <c r="I17" s="258"/>
      <c r="J17" s="258"/>
      <c r="K17" s="258"/>
      <c r="L17" s="258"/>
      <c r="M17" s="258"/>
      <c r="N17" s="258"/>
      <c r="O17" s="258"/>
      <c r="P17" s="258"/>
      <c r="Q17" s="258"/>
      <c r="R17" s="258"/>
      <c r="S17" s="258"/>
      <c r="T17" s="440">
        <f t="shared" si="0"/>
        <v>0</v>
      </c>
    </row>
    <row r="18" spans="1:20" ht="12" customHeight="1">
      <c r="A18" s="158" t="str">
        <f>'t1'!A18</f>
        <v>POSIZIONE ECONOMICA B1</v>
      </c>
      <c r="B18" s="230" t="str">
        <f>'t1'!B18</f>
        <v>030000</v>
      </c>
      <c r="C18" s="259"/>
      <c r="D18" s="258"/>
      <c r="E18" s="258"/>
      <c r="F18" s="258"/>
      <c r="G18" s="258"/>
      <c r="H18" s="258"/>
      <c r="I18" s="258"/>
      <c r="J18" s="258"/>
      <c r="K18" s="258"/>
      <c r="L18" s="258"/>
      <c r="M18" s="258"/>
      <c r="N18" s="258"/>
      <c r="O18" s="258"/>
      <c r="P18" s="258"/>
      <c r="Q18" s="258"/>
      <c r="R18" s="258"/>
      <c r="S18" s="258"/>
      <c r="T18" s="440">
        <f t="shared" si="0"/>
        <v>0</v>
      </c>
    </row>
    <row r="19" spans="1:20" ht="12" customHeight="1">
      <c r="A19" s="158" t="str">
        <f>'t1'!A19</f>
        <v>POSIZIONE ECONOMICA A3</v>
      </c>
      <c r="B19" s="230" t="str">
        <f>'t1'!B19</f>
        <v>027000</v>
      </c>
      <c r="C19" s="259"/>
      <c r="D19" s="258"/>
      <c r="E19" s="258"/>
      <c r="F19" s="258"/>
      <c r="G19" s="258"/>
      <c r="H19" s="258"/>
      <c r="I19" s="258"/>
      <c r="J19" s="258"/>
      <c r="K19" s="258"/>
      <c r="L19" s="258"/>
      <c r="M19" s="258"/>
      <c r="N19" s="258"/>
      <c r="O19" s="258"/>
      <c r="P19" s="258"/>
      <c r="Q19" s="258"/>
      <c r="R19" s="258"/>
      <c r="S19" s="258"/>
      <c r="T19" s="440">
        <f t="shared" si="0"/>
        <v>0</v>
      </c>
    </row>
    <row r="20" spans="1:20" ht="12" customHeight="1">
      <c r="A20" s="158" t="str">
        <f>'t1'!A20</f>
        <v>POSIZIONE ECONOMICA A2</v>
      </c>
      <c r="B20" s="230" t="str">
        <f>'t1'!B20</f>
        <v>025000</v>
      </c>
      <c r="C20" s="259"/>
      <c r="D20" s="258"/>
      <c r="E20" s="258"/>
      <c r="F20" s="258"/>
      <c r="G20" s="258"/>
      <c r="H20" s="258"/>
      <c r="I20" s="258"/>
      <c r="J20" s="258"/>
      <c r="K20" s="258"/>
      <c r="L20" s="258"/>
      <c r="M20" s="258"/>
      <c r="N20" s="258"/>
      <c r="O20" s="258"/>
      <c r="P20" s="258"/>
      <c r="Q20" s="258"/>
      <c r="R20" s="258"/>
      <c r="S20" s="258"/>
      <c r="T20" s="440">
        <f t="shared" si="0"/>
        <v>0</v>
      </c>
    </row>
    <row r="21" spans="1:20" ht="12" customHeight="1">
      <c r="A21" s="158" t="str">
        <f>'t1'!A21</f>
        <v>POSIZIONE ECONOMICA A1</v>
      </c>
      <c r="B21" s="230" t="str">
        <f>'t1'!B21</f>
        <v>023000</v>
      </c>
      <c r="C21" s="259"/>
      <c r="D21" s="258"/>
      <c r="E21" s="258"/>
      <c r="F21" s="258"/>
      <c r="G21" s="258"/>
      <c r="H21" s="258"/>
      <c r="I21" s="258"/>
      <c r="J21" s="258"/>
      <c r="K21" s="258"/>
      <c r="L21" s="258"/>
      <c r="M21" s="258"/>
      <c r="N21" s="258"/>
      <c r="O21" s="258"/>
      <c r="P21" s="258"/>
      <c r="Q21" s="258"/>
      <c r="R21" s="258"/>
      <c r="S21" s="258"/>
      <c r="T21" s="440">
        <f t="shared" si="0"/>
        <v>0</v>
      </c>
    </row>
    <row r="22" spans="1:20" ht="12" customHeight="1" thickBot="1">
      <c r="A22" s="158" t="str">
        <f>'t1'!A22</f>
        <v>CONTRATTISTI (a)</v>
      </c>
      <c r="B22" s="230" t="str">
        <f>'t1'!B22</f>
        <v>000061</v>
      </c>
      <c r="C22" s="259"/>
      <c r="D22" s="258"/>
      <c r="E22" s="258"/>
      <c r="F22" s="258"/>
      <c r="G22" s="258"/>
      <c r="H22" s="258"/>
      <c r="I22" s="258"/>
      <c r="J22" s="258"/>
      <c r="K22" s="258"/>
      <c r="L22" s="258"/>
      <c r="M22" s="258"/>
      <c r="N22" s="258"/>
      <c r="O22" s="258"/>
      <c r="P22" s="258"/>
      <c r="Q22" s="258"/>
      <c r="R22" s="258"/>
      <c r="S22" s="258"/>
      <c r="T22" s="440">
        <f t="shared" si="0"/>
        <v>0</v>
      </c>
    </row>
    <row r="23" spans="1:20" s="106" customFormat="1" ht="17.25" customHeight="1" thickBot="1" thickTop="1">
      <c r="A23" s="227" t="s">
        <v>180</v>
      </c>
      <c r="B23" s="228"/>
      <c r="C23" s="442">
        <f aca="true" t="shared" si="1" ref="C23:T23">SUM(C6:C22)</f>
        <v>0</v>
      </c>
      <c r="D23" s="443">
        <f t="shared" si="1"/>
        <v>0</v>
      </c>
      <c r="E23" s="443">
        <f t="shared" si="1"/>
        <v>0</v>
      </c>
      <c r="F23" s="443">
        <f t="shared" si="1"/>
        <v>0</v>
      </c>
      <c r="G23" s="443">
        <f t="shared" si="1"/>
        <v>0</v>
      </c>
      <c r="H23" s="443">
        <f t="shared" si="1"/>
        <v>0</v>
      </c>
      <c r="I23" s="443">
        <f t="shared" si="1"/>
        <v>0</v>
      </c>
      <c r="J23" s="443">
        <f t="shared" si="1"/>
        <v>0</v>
      </c>
      <c r="K23" s="443">
        <f t="shared" si="1"/>
        <v>0</v>
      </c>
      <c r="L23" s="443">
        <f t="shared" si="1"/>
        <v>0</v>
      </c>
      <c r="M23" s="443">
        <f t="shared" si="1"/>
        <v>0</v>
      </c>
      <c r="N23" s="443">
        <f t="shared" si="1"/>
        <v>0</v>
      </c>
      <c r="O23" s="443">
        <f t="shared" si="1"/>
        <v>0</v>
      </c>
      <c r="P23" s="443">
        <f t="shared" si="1"/>
        <v>0</v>
      </c>
      <c r="Q23" s="443">
        <f t="shared" si="1"/>
        <v>0</v>
      </c>
      <c r="R23" s="443">
        <f t="shared" si="1"/>
        <v>0</v>
      </c>
      <c r="S23" s="443">
        <f t="shared" si="1"/>
        <v>0</v>
      </c>
      <c r="T23" s="441">
        <f t="shared" si="1"/>
        <v>0</v>
      </c>
    </row>
    <row r="24" ht="17.25" customHeight="1">
      <c r="A24" s="26" t="str">
        <f>'t1'!$A$24</f>
        <v>(a) personale a tempo indeterminato al quale viene applicato un contratto di lavoro di tipo privatistico (es.:tipografico,chimico,edile,metalmeccanico,portierato, ecc.)</v>
      </c>
    </row>
    <row r="25" ht="9.75">
      <c r="A25" s="26"/>
    </row>
    <row r="34" ht="9.75">
      <c r="V34" s="167"/>
    </row>
  </sheetData>
  <sheetProtection password="EA98" sheet="1" formatColumns="0" selectLockedCells="1"/>
  <mergeCells count="3">
    <mergeCell ref="C4:S4"/>
    <mergeCell ref="C3:S3"/>
    <mergeCell ref="A1:S1"/>
  </mergeCells>
  <printOptions horizontalCentered="1" verticalCentered="1"/>
  <pageMargins left="0" right="0" top="0.1968503937007874" bottom="0.15748031496062992" header="0.1968503937007874" footer="0.1968503937007874"/>
  <pageSetup horizontalDpi="300" verticalDpi="300" orientation="landscape" paperSize="9" scale="75" r:id="rId2"/>
  <drawing r:id="rId1"/>
</worksheet>
</file>

<file path=xl/worksheets/sheet8.xml><?xml version="1.0" encoding="utf-8"?>
<worksheet xmlns="http://schemas.openxmlformats.org/spreadsheetml/2006/main" xmlns:r="http://schemas.openxmlformats.org/officeDocument/2006/relationships">
  <sheetPr codeName="Foglio12"/>
  <dimension ref="A1:Y27"/>
  <sheetViews>
    <sheetView showGridLines="0" zoomScalePageLayoutView="0" workbookViewId="0" topLeftCell="A1">
      <pane xSplit="2" ySplit="6" topLeftCell="C7" activePane="bottomRight" state="frozen"/>
      <selection pane="topLeft" activeCell="A2" sqref="A2"/>
      <selection pane="topRight" activeCell="A2" sqref="A2"/>
      <selection pane="bottomLeft" activeCell="A2" sqref="A2"/>
      <selection pane="bottomRight" activeCell="C7" sqref="C7"/>
    </sheetView>
  </sheetViews>
  <sheetFormatPr defaultColWidth="10.66015625" defaultRowHeight="10.5"/>
  <cols>
    <col min="1" max="1" width="39.83203125" style="92" customWidth="1"/>
    <col min="2" max="2" width="10.66015625" style="102" customWidth="1"/>
    <col min="3" max="14" width="11.16015625" style="92" customWidth="1"/>
    <col min="15" max="18" width="9.33203125" style="92" customWidth="1"/>
    <col min="19" max="20" width="11.16015625" style="92" customWidth="1"/>
    <col min="21" max="21" width="6.66015625" style="92" customWidth="1"/>
    <col min="22" max="25" width="10.83203125" style="92" customWidth="1"/>
    <col min="26" max="16384" width="10.66015625" style="92" customWidth="1"/>
  </cols>
  <sheetData>
    <row r="1" spans="1:20" s="5" customFormat="1" ht="43.5" customHeight="1">
      <c r="A1" s="1349" t="str">
        <f>'t1'!A1</f>
        <v>CNEL - anno 2018</v>
      </c>
      <c r="B1" s="1349"/>
      <c r="C1" s="1349"/>
      <c r="D1" s="1349"/>
      <c r="E1" s="1349"/>
      <c r="F1" s="1349"/>
      <c r="G1" s="1349"/>
      <c r="H1" s="1349"/>
      <c r="I1" s="1349"/>
      <c r="J1" s="1349"/>
      <c r="K1" s="1349"/>
      <c r="L1" s="1349"/>
      <c r="M1" s="1349"/>
      <c r="N1" s="1349"/>
      <c r="O1" s="1349"/>
      <c r="P1" s="1349"/>
      <c r="Q1" s="1349"/>
      <c r="R1" s="1349"/>
      <c r="S1"/>
      <c r="T1" s="318"/>
    </row>
    <row r="2" spans="1:20" s="5" customFormat="1" ht="30" customHeight="1" thickBot="1">
      <c r="A2" s="317"/>
      <c r="B2" s="2"/>
      <c r="C2" s="3"/>
      <c r="D2" s="3"/>
      <c r="E2" s="3"/>
      <c r="F2" s="3"/>
      <c r="G2" s="3"/>
      <c r="H2" s="3"/>
      <c r="I2" s="4"/>
      <c r="J2" s="3"/>
      <c r="K2" s="3"/>
      <c r="L2" s="3"/>
      <c r="M2" s="3"/>
      <c r="N2" s="1350"/>
      <c r="O2" s="1350"/>
      <c r="P2" s="1350"/>
      <c r="Q2" s="1350"/>
      <c r="R2" s="1350"/>
      <c r="S2" s="1350"/>
      <c r="T2" s="1350"/>
    </row>
    <row r="3" spans="1:25" ht="15" customHeight="1" thickBot="1">
      <c r="A3" s="93"/>
      <c r="B3" s="94"/>
      <c r="C3" s="309" t="s">
        <v>254</v>
      </c>
      <c r="D3" s="95"/>
      <c r="E3" s="95"/>
      <c r="F3" s="95"/>
      <c r="G3" s="95"/>
      <c r="H3" s="95"/>
      <c r="I3" s="95"/>
      <c r="J3" s="95"/>
      <c r="K3" s="95"/>
      <c r="L3" s="95"/>
      <c r="M3" s="95"/>
      <c r="N3" s="95"/>
      <c r="O3" s="95"/>
      <c r="P3" s="95"/>
      <c r="Q3" s="95"/>
      <c r="R3" s="95"/>
      <c r="S3" s="95"/>
      <c r="T3" s="96"/>
      <c r="V3"/>
      <c r="W3"/>
      <c r="X3"/>
      <c r="Y3"/>
    </row>
    <row r="4" spans="1:25" ht="30" customHeight="1" thickTop="1">
      <c r="A4" s="288" t="s">
        <v>141</v>
      </c>
      <c r="B4" s="97" t="s">
        <v>74</v>
      </c>
      <c r="C4" s="1362" t="s">
        <v>362</v>
      </c>
      <c r="D4" s="1363"/>
      <c r="E4" s="1362" t="s">
        <v>363</v>
      </c>
      <c r="F4" s="1363"/>
      <c r="G4" s="1362" t="s">
        <v>364</v>
      </c>
      <c r="H4" s="1363"/>
      <c r="I4" s="1362" t="s">
        <v>57</v>
      </c>
      <c r="J4" s="1363"/>
      <c r="K4" s="1362" t="s">
        <v>58</v>
      </c>
      <c r="L4" s="1363"/>
      <c r="M4" s="1362" t="s">
        <v>646</v>
      </c>
      <c r="N4" s="1363"/>
      <c r="O4" s="1362" t="s">
        <v>409</v>
      </c>
      <c r="P4" s="1363"/>
      <c r="Q4" s="1362" t="s">
        <v>102</v>
      </c>
      <c r="R4" s="1363"/>
      <c r="S4" s="1362" t="s">
        <v>77</v>
      </c>
      <c r="T4" s="1366"/>
      <c r="V4"/>
      <c r="W4"/>
      <c r="X4"/>
      <c r="Y4"/>
    </row>
    <row r="5" spans="1:25" ht="9.75">
      <c r="A5" s="664"/>
      <c r="B5" s="97"/>
      <c r="C5" s="1364" t="s">
        <v>367</v>
      </c>
      <c r="D5" s="1365"/>
      <c r="E5" s="1364" t="s">
        <v>368</v>
      </c>
      <c r="F5" s="1365"/>
      <c r="G5" s="1364" t="s">
        <v>369</v>
      </c>
      <c r="H5" s="1365"/>
      <c r="I5" s="1364" t="s">
        <v>370</v>
      </c>
      <c r="J5" s="1365"/>
      <c r="K5" s="1364" t="s">
        <v>371</v>
      </c>
      <c r="L5" s="1365"/>
      <c r="M5" s="1364" t="s">
        <v>609</v>
      </c>
      <c r="N5" s="1365"/>
      <c r="O5" s="1364" t="s">
        <v>408</v>
      </c>
      <c r="P5" s="1365"/>
      <c r="Q5" s="1364" t="s">
        <v>372</v>
      </c>
      <c r="R5" s="1365"/>
      <c r="S5" s="1364"/>
      <c r="T5" s="1367"/>
      <c r="V5"/>
      <c r="W5"/>
      <c r="X5"/>
      <c r="Y5"/>
    </row>
    <row r="6" spans="1:25" ht="10.5" thickBot="1">
      <c r="A6" s="98"/>
      <c r="B6" s="99"/>
      <c r="C6" s="666" t="s">
        <v>75</v>
      </c>
      <c r="D6" s="667" t="s">
        <v>76</v>
      </c>
      <c r="E6" s="666" t="s">
        <v>75</v>
      </c>
      <c r="F6" s="667" t="s">
        <v>76</v>
      </c>
      <c r="G6" s="666" t="s">
        <v>75</v>
      </c>
      <c r="H6" s="667" t="s">
        <v>76</v>
      </c>
      <c r="I6" s="666" t="s">
        <v>75</v>
      </c>
      <c r="J6" s="667" t="s">
        <v>76</v>
      </c>
      <c r="K6" s="666" t="s">
        <v>75</v>
      </c>
      <c r="L6" s="667" t="s">
        <v>76</v>
      </c>
      <c r="M6" s="666" t="s">
        <v>75</v>
      </c>
      <c r="N6" s="667" t="s">
        <v>76</v>
      </c>
      <c r="O6" s="666" t="s">
        <v>75</v>
      </c>
      <c r="P6" s="667" t="s">
        <v>76</v>
      </c>
      <c r="Q6" s="666" t="s">
        <v>75</v>
      </c>
      <c r="R6" s="667" t="s">
        <v>76</v>
      </c>
      <c r="S6" s="666" t="s">
        <v>75</v>
      </c>
      <c r="T6" s="668" t="s">
        <v>76</v>
      </c>
      <c r="V6"/>
      <c r="W6"/>
      <c r="X6"/>
      <c r="Y6"/>
    </row>
    <row r="7" spans="1:25" ht="12.75" customHeight="1" thickTop="1">
      <c r="A7" s="25" t="str">
        <f>'t1'!A6</f>
        <v>DIRIGENTE I FASCIA</v>
      </c>
      <c r="B7" s="237" t="str">
        <f>'t1'!B6</f>
        <v>0D0077</v>
      </c>
      <c r="C7" s="233"/>
      <c r="D7" s="238"/>
      <c r="E7" s="233"/>
      <c r="F7" s="238"/>
      <c r="G7" s="233"/>
      <c r="H7" s="238"/>
      <c r="I7" s="233"/>
      <c r="J7" s="238"/>
      <c r="K7" s="541"/>
      <c r="L7" s="232"/>
      <c r="M7" s="233"/>
      <c r="N7" s="238"/>
      <c r="O7" s="239"/>
      <c r="P7" s="238"/>
      <c r="Q7" s="239"/>
      <c r="R7" s="238"/>
      <c r="S7" s="444">
        <f>SUM(C7,E7,G7,I7,K7,M7,O7,Q7)</f>
        <v>0</v>
      </c>
      <c r="T7" s="445">
        <f>SUM(D7,F7,H7,J7,L7,N7,P7,R7)</f>
        <v>0</v>
      </c>
      <c r="V7"/>
      <c r="W7"/>
      <c r="X7"/>
      <c r="Y7"/>
    </row>
    <row r="8" spans="1:25" ht="12.75" customHeight="1">
      <c r="A8" s="158" t="str">
        <f>'t1'!A7</f>
        <v>DIRIGENTE I FASCIA A TEMPO DETERM.</v>
      </c>
      <c r="B8" s="230" t="str">
        <f>'t1'!B7</f>
        <v>0D0078</v>
      </c>
      <c r="C8" s="233"/>
      <c r="D8" s="238"/>
      <c r="E8" s="233"/>
      <c r="F8" s="238"/>
      <c r="G8" s="233"/>
      <c r="H8" s="238"/>
      <c r="I8" s="233"/>
      <c r="J8" s="238"/>
      <c r="K8" s="543"/>
      <c r="L8" s="232"/>
      <c r="M8" s="233"/>
      <c r="N8" s="238"/>
      <c r="O8" s="239"/>
      <c r="P8" s="238"/>
      <c r="Q8" s="239"/>
      <c r="R8" s="238"/>
      <c r="S8" s="446">
        <f aca="true" t="shared" si="0" ref="S8:S23">SUM(C8,E8,G8,I8,K8,M8,O8,Q8)</f>
        <v>0</v>
      </c>
      <c r="T8" s="447">
        <f aca="true" t="shared" si="1" ref="T8:T23">SUM(D8,F8,H8,J8,L8,N8,P8,R8)</f>
        <v>0</v>
      </c>
      <c r="V8"/>
      <c r="W8"/>
      <c r="X8"/>
      <c r="Y8"/>
    </row>
    <row r="9" spans="1:25" ht="12.75" customHeight="1">
      <c r="A9" s="158" t="str">
        <f>'t1'!A8</f>
        <v>DIRIGENTE II FASCIA</v>
      </c>
      <c r="B9" s="230" t="str">
        <f>'t1'!B8</f>
        <v>0D0079</v>
      </c>
      <c r="C9" s="233"/>
      <c r="D9" s="238"/>
      <c r="E9" s="233"/>
      <c r="F9" s="238"/>
      <c r="G9" s="233"/>
      <c r="H9" s="238"/>
      <c r="I9" s="233"/>
      <c r="J9" s="238"/>
      <c r="K9" s="543"/>
      <c r="L9" s="232"/>
      <c r="M9" s="233"/>
      <c r="N9" s="238"/>
      <c r="O9" s="239"/>
      <c r="P9" s="238"/>
      <c r="Q9" s="239"/>
      <c r="R9" s="238"/>
      <c r="S9" s="446">
        <f t="shared" si="0"/>
        <v>0</v>
      </c>
      <c r="T9" s="447">
        <f t="shared" si="1"/>
        <v>0</v>
      </c>
      <c r="V9"/>
      <c r="W9"/>
      <c r="X9"/>
      <c r="Y9"/>
    </row>
    <row r="10" spans="1:25" ht="12.75" customHeight="1">
      <c r="A10" s="158" t="str">
        <f>'t1'!A9</f>
        <v>DIRIGENTE II FASCIA A TEMPO DETERM.</v>
      </c>
      <c r="B10" s="230" t="str">
        <f>'t1'!B9</f>
        <v>0D0080</v>
      </c>
      <c r="C10" s="233"/>
      <c r="D10" s="238"/>
      <c r="E10" s="233"/>
      <c r="F10" s="238"/>
      <c r="G10" s="233"/>
      <c r="H10" s="238"/>
      <c r="I10" s="233"/>
      <c r="J10" s="238"/>
      <c r="K10" s="543"/>
      <c r="L10" s="232"/>
      <c r="M10" s="233"/>
      <c r="N10" s="238"/>
      <c r="O10" s="239"/>
      <c r="P10" s="238"/>
      <c r="Q10" s="239"/>
      <c r="R10" s="238"/>
      <c r="S10" s="446">
        <f t="shared" si="0"/>
        <v>0</v>
      </c>
      <c r="T10" s="447">
        <f t="shared" si="1"/>
        <v>0</v>
      </c>
      <c r="V10"/>
      <c r="W10"/>
      <c r="X10"/>
      <c r="Y10"/>
    </row>
    <row r="11" spans="1:25" ht="12.75" customHeight="1">
      <c r="A11" s="158" t="str">
        <f>'t1'!A10</f>
        <v>POSIZIONE ECONOMICA C5</v>
      </c>
      <c r="B11" s="230" t="str">
        <f>'t1'!B10</f>
        <v>046000</v>
      </c>
      <c r="C11" s="233"/>
      <c r="D11" s="238"/>
      <c r="E11" s="233"/>
      <c r="F11" s="238"/>
      <c r="G11" s="233"/>
      <c r="H11" s="238"/>
      <c r="I11" s="233"/>
      <c r="J11" s="238"/>
      <c r="K11" s="543"/>
      <c r="L11" s="232"/>
      <c r="M11" s="233"/>
      <c r="N11" s="238"/>
      <c r="O11" s="239"/>
      <c r="P11" s="238"/>
      <c r="Q11" s="239"/>
      <c r="R11" s="238"/>
      <c r="S11" s="446">
        <f t="shared" si="0"/>
        <v>0</v>
      </c>
      <c r="T11" s="447">
        <f t="shared" si="1"/>
        <v>0</v>
      </c>
      <c r="V11"/>
      <c r="W11"/>
      <c r="X11"/>
      <c r="Y11"/>
    </row>
    <row r="12" spans="1:25" ht="12.75" customHeight="1">
      <c r="A12" s="158" t="str">
        <f>'t1'!A11</f>
        <v>POSIZIONE ECONOMICA C4</v>
      </c>
      <c r="B12" s="230" t="str">
        <f>'t1'!B11</f>
        <v>045000</v>
      </c>
      <c r="C12" s="233"/>
      <c r="D12" s="238"/>
      <c r="E12" s="233"/>
      <c r="F12" s="238"/>
      <c r="G12" s="233"/>
      <c r="H12" s="238"/>
      <c r="I12" s="233"/>
      <c r="J12" s="238"/>
      <c r="K12" s="543"/>
      <c r="L12" s="232"/>
      <c r="M12" s="233"/>
      <c r="N12" s="238"/>
      <c r="O12" s="239"/>
      <c r="P12" s="238"/>
      <c r="Q12" s="239"/>
      <c r="R12" s="238"/>
      <c r="S12" s="446">
        <f t="shared" si="0"/>
        <v>0</v>
      </c>
      <c r="T12" s="447">
        <f t="shared" si="1"/>
        <v>0</v>
      </c>
      <c r="V12"/>
      <c r="W12"/>
      <c r="X12"/>
      <c r="Y12"/>
    </row>
    <row r="13" spans="1:25" ht="12.75" customHeight="1">
      <c r="A13" s="158" t="str">
        <f>'t1'!A12</f>
        <v>POSIZIONE ECONOMICA C3</v>
      </c>
      <c r="B13" s="230" t="str">
        <f>'t1'!B12</f>
        <v>043000</v>
      </c>
      <c r="C13" s="233"/>
      <c r="D13" s="238"/>
      <c r="E13" s="233"/>
      <c r="F13" s="238"/>
      <c r="G13" s="233"/>
      <c r="H13" s="238"/>
      <c r="I13" s="233"/>
      <c r="J13" s="238"/>
      <c r="K13" s="543"/>
      <c r="L13" s="232"/>
      <c r="M13" s="233"/>
      <c r="N13" s="238"/>
      <c r="O13" s="239"/>
      <c r="P13" s="238"/>
      <c r="Q13" s="239"/>
      <c r="R13" s="238"/>
      <c r="S13" s="446">
        <f t="shared" si="0"/>
        <v>0</v>
      </c>
      <c r="T13" s="447">
        <f t="shared" si="1"/>
        <v>0</v>
      </c>
      <c r="V13"/>
      <c r="W13"/>
      <c r="X13"/>
      <c r="Y13"/>
    </row>
    <row r="14" spans="1:25" ht="12.75" customHeight="1">
      <c r="A14" s="158" t="str">
        <f>'t1'!A13</f>
        <v>POSIZIONE ECONOMICA C2</v>
      </c>
      <c r="B14" s="230" t="str">
        <f>'t1'!B13</f>
        <v>042000</v>
      </c>
      <c r="C14" s="233"/>
      <c r="D14" s="238"/>
      <c r="E14" s="233"/>
      <c r="F14" s="238"/>
      <c r="G14" s="233"/>
      <c r="H14" s="238"/>
      <c r="I14" s="233"/>
      <c r="J14" s="238"/>
      <c r="K14" s="543"/>
      <c r="L14" s="232"/>
      <c r="M14" s="233"/>
      <c r="N14" s="238"/>
      <c r="O14" s="239"/>
      <c r="P14" s="238"/>
      <c r="Q14" s="239"/>
      <c r="R14" s="238"/>
      <c r="S14" s="446">
        <f t="shared" si="0"/>
        <v>0</v>
      </c>
      <c r="T14" s="447">
        <f t="shared" si="1"/>
        <v>0</v>
      </c>
      <c r="V14"/>
      <c r="W14"/>
      <c r="X14"/>
      <c r="Y14"/>
    </row>
    <row r="15" spans="1:25" ht="12.75" customHeight="1">
      <c r="A15" s="158" t="str">
        <f>'t1'!A14</f>
        <v>POSIZIONE ECONOMICA C1</v>
      </c>
      <c r="B15" s="230" t="str">
        <f>'t1'!B14</f>
        <v>040000</v>
      </c>
      <c r="C15" s="233"/>
      <c r="D15" s="238"/>
      <c r="E15" s="233"/>
      <c r="F15" s="238"/>
      <c r="G15" s="233"/>
      <c r="H15" s="238"/>
      <c r="I15" s="233"/>
      <c r="J15" s="238"/>
      <c r="K15" s="543"/>
      <c r="L15" s="232"/>
      <c r="M15" s="233"/>
      <c r="N15" s="238"/>
      <c r="O15" s="239"/>
      <c r="P15" s="238"/>
      <c r="Q15" s="239"/>
      <c r="R15" s="238"/>
      <c r="S15" s="446">
        <f t="shared" si="0"/>
        <v>0</v>
      </c>
      <c r="T15" s="447">
        <f t="shared" si="1"/>
        <v>0</v>
      </c>
      <c r="V15"/>
      <c r="W15"/>
      <c r="X15"/>
      <c r="Y15"/>
    </row>
    <row r="16" spans="1:25" ht="12.75" customHeight="1">
      <c r="A16" s="158" t="str">
        <f>'t1'!A15</f>
        <v>POSIZIONE ECONOMICA B4</v>
      </c>
      <c r="B16" s="230" t="str">
        <f>'t1'!B15</f>
        <v>036000</v>
      </c>
      <c r="C16" s="233"/>
      <c r="D16" s="238"/>
      <c r="E16" s="233"/>
      <c r="F16" s="238"/>
      <c r="G16" s="233"/>
      <c r="H16" s="238"/>
      <c r="I16" s="233"/>
      <c r="J16" s="238"/>
      <c r="K16" s="543"/>
      <c r="L16" s="232"/>
      <c r="M16" s="233"/>
      <c r="N16" s="238"/>
      <c r="O16" s="239"/>
      <c r="P16" s="238"/>
      <c r="Q16" s="239"/>
      <c r="R16" s="238"/>
      <c r="S16" s="446">
        <f t="shared" si="0"/>
        <v>0</v>
      </c>
      <c r="T16" s="447">
        <f t="shared" si="1"/>
        <v>0</v>
      </c>
      <c r="V16"/>
      <c r="W16"/>
      <c r="X16"/>
      <c r="Y16"/>
    </row>
    <row r="17" spans="1:25" ht="12.75" customHeight="1">
      <c r="A17" s="158" t="str">
        <f>'t1'!A16</f>
        <v>POSIZIONE ECONOMICA B3</v>
      </c>
      <c r="B17" s="230" t="str">
        <f>'t1'!B16</f>
        <v>034000</v>
      </c>
      <c r="C17" s="233"/>
      <c r="D17" s="238"/>
      <c r="E17" s="233"/>
      <c r="F17" s="238"/>
      <c r="G17" s="233"/>
      <c r="H17" s="238"/>
      <c r="I17" s="233"/>
      <c r="J17" s="238"/>
      <c r="K17" s="543"/>
      <c r="L17" s="232"/>
      <c r="M17" s="233"/>
      <c r="N17" s="238"/>
      <c r="O17" s="239"/>
      <c r="P17" s="238"/>
      <c r="Q17" s="239"/>
      <c r="R17" s="238"/>
      <c r="S17" s="446">
        <f t="shared" si="0"/>
        <v>0</v>
      </c>
      <c r="T17" s="447">
        <f t="shared" si="1"/>
        <v>0</v>
      </c>
      <c r="V17"/>
      <c r="W17"/>
      <c r="X17"/>
      <c r="Y17"/>
    </row>
    <row r="18" spans="1:25" ht="12.75" customHeight="1">
      <c r="A18" s="158" t="str">
        <f>'t1'!A17</f>
        <v>POSIZIONE ECONOMICA B2</v>
      </c>
      <c r="B18" s="230" t="str">
        <f>'t1'!B17</f>
        <v>032000</v>
      </c>
      <c r="C18" s="233"/>
      <c r="D18" s="238"/>
      <c r="E18" s="233"/>
      <c r="F18" s="238"/>
      <c r="G18" s="233"/>
      <c r="H18" s="238"/>
      <c r="I18" s="233"/>
      <c r="J18" s="238"/>
      <c r="K18" s="543"/>
      <c r="L18" s="232"/>
      <c r="M18" s="233"/>
      <c r="N18" s="238"/>
      <c r="O18" s="239"/>
      <c r="P18" s="238"/>
      <c r="Q18" s="239"/>
      <c r="R18" s="238"/>
      <c r="S18" s="446">
        <f t="shared" si="0"/>
        <v>0</v>
      </c>
      <c r="T18" s="447">
        <f t="shared" si="1"/>
        <v>0</v>
      </c>
      <c r="V18"/>
      <c r="W18"/>
      <c r="X18"/>
      <c r="Y18"/>
    </row>
    <row r="19" spans="1:25" ht="12.75" customHeight="1">
      <c r="A19" s="158" t="str">
        <f>'t1'!A18</f>
        <v>POSIZIONE ECONOMICA B1</v>
      </c>
      <c r="B19" s="230" t="str">
        <f>'t1'!B18</f>
        <v>030000</v>
      </c>
      <c r="C19" s="233"/>
      <c r="D19" s="238"/>
      <c r="E19" s="233"/>
      <c r="F19" s="238"/>
      <c r="G19" s="233"/>
      <c r="H19" s="238"/>
      <c r="I19" s="233"/>
      <c r="J19" s="238"/>
      <c r="K19" s="543"/>
      <c r="L19" s="232"/>
      <c r="M19" s="233"/>
      <c r="N19" s="238"/>
      <c r="O19" s="239"/>
      <c r="P19" s="238"/>
      <c r="Q19" s="239"/>
      <c r="R19" s="238"/>
      <c r="S19" s="446">
        <f t="shared" si="0"/>
        <v>0</v>
      </c>
      <c r="T19" s="447">
        <f t="shared" si="1"/>
        <v>0</v>
      </c>
      <c r="V19"/>
      <c r="W19"/>
      <c r="X19"/>
      <c r="Y19"/>
    </row>
    <row r="20" spans="1:25" ht="12.75" customHeight="1">
      <c r="A20" s="158" t="str">
        <f>'t1'!A19</f>
        <v>POSIZIONE ECONOMICA A3</v>
      </c>
      <c r="B20" s="230" t="str">
        <f>'t1'!B19</f>
        <v>027000</v>
      </c>
      <c r="C20" s="233"/>
      <c r="D20" s="238"/>
      <c r="E20" s="233"/>
      <c r="F20" s="238"/>
      <c r="G20" s="233"/>
      <c r="H20" s="238"/>
      <c r="I20" s="233"/>
      <c r="J20" s="238"/>
      <c r="K20" s="543"/>
      <c r="L20" s="232"/>
      <c r="M20" s="233"/>
      <c r="N20" s="238"/>
      <c r="O20" s="239"/>
      <c r="P20" s="238"/>
      <c r="Q20" s="239"/>
      <c r="R20" s="238"/>
      <c r="S20" s="446">
        <f t="shared" si="0"/>
        <v>0</v>
      </c>
      <c r="T20" s="447">
        <f t="shared" si="1"/>
        <v>0</v>
      </c>
      <c r="V20"/>
      <c r="W20"/>
      <c r="X20"/>
      <c r="Y20"/>
    </row>
    <row r="21" spans="1:25" ht="12.75" customHeight="1">
      <c r="A21" s="158" t="str">
        <f>'t1'!A20</f>
        <v>POSIZIONE ECONOMICA A2</v>
      </c>
      <c r="B21" s="230" t="str">
        <f>'t1'!B20</f>
        <v>025000</v>
      </c>
      <c r="C21" s="233"/>
      <c r="D21" s="238"/>
      <c r="E21" s="233"/>
      <c r="F21" s="238"/>
      <c r="G21" s="233"/>
      <c r="H21" s="238"/>
      <c r="I21" s="233"/>
      <c r="J21" s="238"/>
      <c r="K21" s="543"/>
      <c r="L21" s="232"/>
      <c r="M21" s="233"/>
      <c r="N21" s="238"/>
      <c r="O21" s="239"/>
      <c r="P21" s="238"/>
      <c r="Q21" s="239"/>
      <c r="R21" s="238"/>
      <c r="S21" s="446">
        <f t="shared" si="0"/>
        <v>0</v>
      </c>
      <c r="T21" s="447">
        <f t="shared" si="1"/>
        <v>0</v>
      </c>
      <c r="V21"/>
      <c r="W21"/>
      <c r="X21"/>
      <c r="Y21"/>
    </row>
    <row r="22" spans="1:25" ht="12.75" customHeight="1">
      <c r="A22" s="158" t="str">
        <f>'t1'!A21</f>
        <v>POSIZIONE ECONOMICA A1</v>
      </c>
      <c r="B22" s="230" t="str">
        <f>'t1'!B21</f>
        <v>023000</v>
      </c>
      <c r="C22" s="233"/>
      <c r="D22" s="238"/>
      <c r="E22" s="233"/>
      <c r="F22" s="238"/>
      <c r="G22" s="233"/>
      <c r="H22" s="238"/>
      <c r="I22" s="233"/>
      <c r="J22" s="238"/>
      <c r="K22" s="543"/>
      <c r="L22" s="232"/>
      <c r="M22" s="233"/>
      <c r="N22" s="238"/>
      <c r="O22" s="239"/>
      <c r="P22" s="238"/>
      <c r="Q22" s="239"/>
      <c r="R22" s="238"/>
      <c r="S22" s="446">
        <f t="shared" si="0"/>
        <v>0</v>
      </c>
      <c r="T22" s="447">
        <f t="shared" si="1"/>
        <v>0</v>
      </c>
      <c r="V22"/>
      <c r="W22"/>
      <c r="X22"/>
      <c r="Y22"/>
    </row>
    <row r="23" spans="1:25" ht="12.75" customHeight="1" thickBot="1">
      <c r="A23" s="158" t="str">
        <f>'t1'!A22</f>
        <v>CONTRATTISTI (a)</v>
      </c>
      <c r="B23" s="230" t="str">
        <f>'t1'!B22</f>
        <v>000061</v>
      </c>
      <c r="C23" s="233"/>
      <c r="D23" s="238"/>
      <c r="E23" s="233"/>
      <c r="F23" s="238"/>
      <c r="G23" s="233"/>
      <c r="H23" s="238"/>
      <c r="I23" s="233"/>
      <c r="J23" s="238"/>
      <c r="K23" s="543"/>
      <c r="L23" s="232"/>
      <c r="M23" s="233"/>
      <c r="N23" s="238"/>
      <c r="O23" s="239"/>
      <c r="P23" s="238"/>
      <c r="Q23" s="239"/>
      <c r="R23" s="238"/>
      <c r="S23" s="446">
        <f t="shared" si="0"/>
        <v>0</v>
      </c>
      <c r="T23" s="447">
        <f t="shared" si="1"/>
        <v>0</v>
      </c>
      <c r="V23"/>
      <c r="W23"/>
      <c r="X23"/>
      <c r="Y23"/>
    </row>
    <row r="24" spans="1:25" ht="13.5" customHeight="1" thickBot="1" thickTop="1">
      <c r="A24" s="302" t="s">
        <v>77</v>
      </c>
      <c r="B24" s="101"/>
      <c r="C24" s="448">
        <f aca="true" t="shared" si="2" ref="C24:T24">SUM(C7:C23)</f>
        <v>0</v>
      </c>
      <c r="D24" s="449">
        <f t="shared" si="2"/>
        <v>0</v>
      </c>
      <c r="E24" s="448">
        <f t="shared" si="2"/>
        <v>0</v>
      </c>
      <c r="F24" s="449">
        <f t="shared" si="2"/>
        <v>0</v>
      </c>
      <c r="G24" s="448">
        <f t="shared" si="2"/>
        <v>0</v>
      </c>
      <c r="H24" s="449">
        <f t="shared" si="2"/>
        <v>0</v>
      </c>
      <c r="I24" s="448">
        <f t="shared" si="2"/>
        <v>0</v>
      </c>
      <c r="J24" s="449">
        <f t="shared" si="2"/>
        <v>0</v>
      </c>
      <c r="K24" s="448">
        <f t="shared" si="2"/>
        <v>0</v>
      </c>
      <c r="L24" s="542">
        <f t="shared" si="2"/>
        <v>0</v>
      </c>
      <c r="M24" s="448">
        <f>SUM(M7:M23)</f>
        <v>0</v>
      </c>
      <c r="N24" s="449">
        <f>SUM(N7:N23)</f>
        <v>0</v>
      </c>
      <c r="O24" s="448">
        <f t="shared" si="2"/>
        <v>0</v>
      </c>
      <c r="P24" s="449">
        <f t="shared" si="2"/>
        <v>0</v>
      </c>
      <c r="Q24" s="448">
        <f t="shared" si="2"/>
        <v>0</v>
      </c>
      <c r="R24" s="449">
        <f t="shared" si="2"/>
        <v>0</v>
      </c>
      <c r="S24" s="448">
        <f t="shared" si="2"/>
        <v>0</v>
      </c>
      <c r="T24" s="555">
        <f t="shared" si="2"/>
        <v>0</v>
      </c>
      <c r="V24"/>
      <c r="W24"/>
      <c r="X24"/>
      <c r="Y24"/>
    </row>
    <row r="25" ht="18.75" customHeight="1">
      <c r="A25" s="92" t="s">
        <v>104</v>
      </c>
    </row>
    <row r="26" spans="1:14" ht="9.75">
      <c r="A26" s="26" t="str">
        <f>'t1'!$A$24</f>
        <v>(a) personale a tempo indeterminato al quale viene applicato un contratto di lavoro di tipo privatistico (es.:tipografico,chimico,edile,metalmeccanico,portierato, ecc.)</v>
      </c>
      <c r="B26" s="7"/>
      <c r="C26" s="5"/>
      <c r="D26" s="5"/>
      <c r="E26" s="5"/>
      <c r="F26" s="5"/>
      <c r="G26" s="5"/>
      <c r="H26" s="5"/>
      <c r="I26" s="5"/>
      <c r="J26" s="5"/>
      <c r="K26" s="5"/>
      <c r="L26" s="5"/>
      <c r="M26" s="5"/>
      <c r="N26" s="5"/>
    </row>
    <row r="27" ht="9.75">
      <c r="A27" s="26"/>
    </row>
  </sheetData>
  <sheetProtection password="EA98" sheet="1" formatColumns="0" selectLockedCells="1"/>
  <mergeCells count="20">
    <mergeCell ref="N2:T2"/>
    <mergeCell ref="A1:R1"/>
    <mergeCell ref="G4:H4"/>
    <mergeCell ref="C5:D5"/>
    <mergeCell ref="E5:F5"/>
    <mergeCell ref="G5:H5"/>
    <mergeCell ref="I5:J5"/>
    <mergeCell ref="S4:T4"/>
    <mergeCell ref="K5:L5"/>
    <mergeCell ref="S5:T5"/>
    <mergeCell ref="K4:L4"/>
    <mergeCell ref="M5:N5"/>
    <mergeCell ref="Q5:R5"/>
    <mergeCell ref="C4:D4"/>
    <mergeCell ref="E4:F4"/>
    <mergeCell ref="I4:J4"/>
    <mergeCell ref="Q4:R4"/>
    <mergeCell ref="M4:N4"/>
    <mergeCell ref="O4:P4"/>
    <mergeCell ref="O5:P5"/>
  </mergeCells>
  <printOptions horizontalCentered="1" verticalCentered="1"/>
  <pageMargins left="0" right="0" top="0.15748031496062992" bottom="0.15748031496062992" header="0.1968503937007874" footer="0.1968503937007874"/>
  <pageSetup horizontalDpi="600" verticalDpi="600" orientation="landscape" paperSize="9" scale="70" r:id="rId2"/>
  <drawing r:id="rId1"/>
</worksheet>
</file>

<file path=xl/worksheets/sheet9.xml><?xml version="1.0" encoding="utf-8"?>
<worksheet xmlns="http://schemas.openxmlformats.org/spreadsheetml/2006/main" xmlns:r="http://schemas.openxmlformats.org/officeDocument/2006/relationships">
  <sheetPr codeName="Foglio13"/>
  <dimension ref="A1:Y28"/>
  <sheetViews>
    <sheetView showGridLines="0" zoomScalePageLayoutView="0" workbookViewId="0" topLeftCell="A1">
      <pane xSplit="2" ySplit="6" topLeftCell="C7" activePane="bottomRight" state="frozen"/>
      <selection pane="topLeft" activeCell="A2" sqref="A2"/>
      <selection pane="topRight" activeCell="A2" sqref="A2"/>
      <selection pane="bottomLeft" activeCell="A2" sqref="A2"/>
      <selection pane="bottomRight" activeCell="C7" sqref="C7"/>
    </sheetView>
  </sheetViews>
  <sheetFormatPr defaultColWidth="10.66015625" defaultRowHeight="10.5"/>
  <cols>
    <col min="1" max="1" width="38.16015625" style="81" customWidth="1"/>
    <col min="2" max="2" width="10.66015625" style="91" customWidth="1"/>
    <col min="3" max="8" width="10.83203125" style="81" customWidth="1"/>
    <col min="9" max="12" width="11.16015625" style="81" customWidth="1"/>
    <col min="13" max="22" width="10.33203125" style="81" customWidth="1"/>
    <col min="23" max="24" width="10.83203125" style="81" customWidth="1"/>
    <col min="25" max="25" width="5.83203125" style="81" hidden="1" customWidth="1"/>
    <col min="26" max="16384" width="10.66015625" style="81" customWidth="1"/>
  </cols>
  <sheetData>
    <row r="1" spans="1:25" s="5" customFormat="1" ht="43.5" customHeight="1">
      <c r="A1" s="1349" t="str">
        <f>'t1'!A1</f>
        <v>CNEL - anno 2018</v>
      </c>
      <c r="B1" s="1349"/>
      <c r="C1" s="1349"/>
      <c r="D1" s="1349"/>
      <c r="E1" s="1349"/>
      <c r="F1" s="1349"/>
      <c r="G1" s="1349"/>
      <c r="H1" s="1349"/>
      <c r="I1" s="1349"/>
      <c r="J1" s="1349"/>
      <c r="K1" s="1349"/>
      <c r="L1" s="1349"/>
      <c r="M1" s="1349"/>
      <c r="N1" s="1349"/>
      <c r="O1" s="1349"/>
      <c r="P1" s="1349"/>
      <c r="Q1" s="354"/>
      <c r="R1" s="354"/>
      <c r="S1" s="354"/>
      <c r="T1" s="354"/>
      <c r="U1" s="354"/>
      <c r="V1" s="354"/>
      <c r="W1" s="3"/>
      <c r="X1" s="318"/>
      <c r="Y1"/>
    </row>
    <row r="2" spans="1:24" ht="30" customHeight="1" thickBot="1">
      <c r="A2" s="77"/>
      <c r="B2" s="78"/>
      <c r="C2" s="79"/>
      <c r="D2" s="80"/>
      <c r="E2" s="80"/>
      <c r="F2" s="80"/>
      <c r="G2" s="79"/>
      <c r="H2" s="79"/>
      <c r="I2" s="79"/>
      <c r="J2" s="1350"/>
      <c r="K2" s="1350"/>
      <c r="L2" s="1350"/>
      <c r="M2" s="1350"/>
      <c r="N2" s="1350"/>
      <c r="O2" s="1350"/>
      <c r="P2" s="1350"/>
      <c r="Q2" s="1350"/>
      <c r="R2" s="1350"/>
      <c r="S2" s="1350"/>
      <c r="T2" s="1350"/>
      <c r="U2" s="1350"/>
      <c r="V2" s="1350"/>
      <c r="W2" s="1350"/>
      <c r="X2" s="1350"/>
    </row>
    <row r="3" spans="1:24" ht="15" customHeight="1" thickBot="1">
      <c r="A3" s="82"/>
      <c r="B3" s="83"/>
      <c r="C3" s="84" t="s">
        <v>255</v>
      </c>
      <c r="D3" s="85"/>
      <c r="E3" s="85"/>
      <c r="F3" s="85"/>
      <c r="G3" s="85"/>
      <c r="H3" s="85"/>
      <c r="I3" s="85"/>
      <c r="J3" s="85"/>
      <c r="K3" s="85"/>
      <c r="L3" s="85"/>
      <c r="M3" s="85"/>
      <c r="N3" s="85"/>
      <c r="O3" s="85"/>
      <c r="P3" s="85"/>
      <c r="Q3" s="85"/>
      <c r="R3" s="85"/>
      <c r="S3" s="85"/>
      <c r="T3" s="85"/>
      <c r="U3" s="85"/>
      <c r="V3" s="85"/>
      <c r="W3" s="85"/>
      <c r="X3" s="86"/>
    </row>
    <row r="4" spans="1:24" ht="37.5" customHeight="1" thickTop="1">
      <c r="A4" s="287" t="s">
        <v>146</v>
      </c>
      <c r="B4" s="87" t="s">
        <v>74</v>
      </c>
      <c r="C4" s="1376" t="s">
        <v>366</v>
      </c>
      <c r="D4" s="1352"/>
      <c r="E4" s="1376" t="s">
        <v>102</v>
      </c>
      <c r="F4" s="1352"/>
      <c r="G4" s="1376" t="s">
        <v>628</v>
      </c>
      <c r="H4" s="1377"/>
      <c r="I4" s="1370" t="s">
        <v>342</v>
      </c>
      <c r="J4" s="1378"/>
      <c r="K4" s="1376" t="s">
        <v>343</v>
      </c>
      <c r="L4" s="1377"/>
      <c r="M4" s="1376" t="s">
        <v>344</v>
      </c>
      <c r="N4" s="1377"/>
      <c r="O4" s="1370" t="s">
        <v>345</v>
      </c>
      <c r="P4" s="1371"/>
      <c r="Q4" s="1376" t="s">
        <v>615</v>
      </c>
      <c r="R4" s="1377"/>
      <c r="S4" s="1370" t="s">
        <v>616</v>
      </c>
      <c r="T4" s="1371"/>
      <c r="U4" s="1370" t="s">
        <v>805</v>
      </c>
      <c r="V4" s="1371"/>
      <c r="W4" s="1372" t="s">
        <v>77</v>
      </c>
      <c r="X4" s="1373"/>
    </row>
    <row r="5" spans="1:24" ht="9.75">
      <c r="A5" s="665"/>
      <c r="B5" s="87"/>
      <c r="C5" s="1368" t="s">
        <v>373</v>
      </c>
      <c r="D5" s="1369"/>
      <c r="E5" s="1368" t="s">
        <v>374</v>
      </c>
      <c r="F5" s="1369"/>
      <c r="G5" s="1368" t="s">
        <v>375</v>
      </c>
      <c r="H5" s="1369"/>
      <c r="I5" s="1368" t="s">
        <v>376</v>
      </c>
      <c r="J5" s="1369"/>
      <c r="K5" s="1368" t="s">
        <v>377</v>
      </c>
      <c r="L5" s="1369"/>
      <c r="M5" s="1368" t="s">
        <v>378</v>
      </c>
      <c r="N5" s="1369"/>
      <c r="O5" s="1368" t="s">
        <v>379</v>
      </c>
      <c r="P5" s="1369"/>
      <c r="Q5" s="1368" t="s">
        <v>617</v>
      </c>
      <c r="R5" s="1369"/>
      <c r="S5" s="1368" t="s">
        <v>618</v>
      </c>
      <c r="T5" s="1369"/>
      <c r="U5" s="1368" t="s">
        <v>804</v>
      </c>
      <c r="V5" s="1369"/>
      <c r="W5" s="1374"/>
      <c r="X5" s="1375"/>
    </row>
    <row r="6" spans="1:24" ht="10.5" thickBot="1">
      <c r="A6" s="892" t="s">
        <v>645</v>
      </c>
      <c r="B6" s="88"/>
      <c r="C6" s="669" t="s">
        <v>75</v>
      </c>
      <c r="D6" s="670" t="s">
        <v>76</v>
      </c>
      <c r="E6" s="669" t="s">
        <v>75</v>
      </c>
      <c r="F6" s="670" t="s">
        <v>76</v>
      </c>
      <c r="G6" s="669" t="s">
        <v>75</v>
      </c>
      <c r="H6" s="670" t="s">
        <v>76</v>
      </c>
      <c r="I6" s="669" t="s">
        <v>75</v>
      </c>
      <c r="J6" s="670" t="s">
        <v>76</v>
      </c>
      <c r="K6" s="669" t="s">
        <v>75</v>
      </c>
      <c r="L6" s="670" t="s">
        <v>76</v>
      </c>
      <c r="M6" s="669" t="s">
        <v>75</v>
      </c>
      <c r="N6" s="670" t="s">
        <v>76</v>
      </c>
      <c r="O6" s="669" t="s">
        <v>75</v>
      </c>
      <c r="P6" s="670" t="s">
        <v>76</v>
      </c>
      <c r="Q6" s="669" t="s">
        <v>75</v>
      </c>
      <c r="R6" s="670" t="s">
        <v>76</v>
      </c>
      <c r="S6" s="669" t="s">
        <v>75</v>
      </c>
      <c r="T6" s="670" t="s">
        <v>76</v>
      </c>
      <c r="U6" s="669" t="s">
        <v>75</v>
      </c>
      <c r="V6" s="670" t="s">
        <v>76</v>
      </c>
      <c r="W6" s="669" t="s">
        <v>75</v>
      </c>
      <c r="X6" s="671" t="s">
        <v>76</v>
      </c>
    </row>
    <row r="7" spans="1:25" ht="12" customHeight="1" thickTop="1">
      <c r="A7" s="25" t="str">
        <f>'t1'!A6</f>
        <v>DIRIGENTE I FASCIA</v>
      </c>
      <c r="B7" s="237" t="str">
        <f>'t1'!B6</f>
        <v>0D0077</v>
      </c>
      <c r="C7" s="721"/>
      <c r="D7" s="722"/>
      <c r="E7" s="721"/>
      <c r="F7" s="723"/>
      <c r="G7" s="721"/>
      <c r="H7" s="723"/>
      <c r="I7" s="721"/>
      <c r="J7" s="722"/>
      <c r="K7" s="723"/>
      <c r="L7" s="722"/>
      <c r="M7" s="723"/>
      <c r="N7" s="722"/>
      <c r="O7" s="724"/>
      <c r="P7" s="725"/>
      <c r="Q7" s="831"/>
      <c r="R7" s="832"/>
      <c r="S7" s="833"/>
      <c r="T7" s="832"/>
      <c r="U7" s="833"/>
      <c r="V7" s="832"/>
      <c r="W7" s="450">
        <f>SUM(C7,E7,G7,I7,K7,M7,O7,Q7,S7,U7)</f>
        <v>0</v>
      </c>
      <c r="X7" s="451">
        <f>SUM(D7,F7,H7,J7,L7,N7,P7,R7,T7,V7)</f>
        <v>0</v>
      </c>
      <c r="Y7" s="81">
        <f>'t1'!M6</f>
        <v>0</v>
      </c>
    </row>
    <row r="8" spans="1:25" ht="12" customHeight="1">
      <c r="A8" s="158" t="str">
        <f>'t1'!A7</f>
        <v>DIRIGENTE I FASCIA A TEMPO DETERM.</v>
      </c>
      <c r="B8" s="230" t="str">
        <f>'t1'!B7</f>
        <v>0D0078</v>
      </c>
      <c r="C8" s="726"/>
      <c r="D8" s="727"/>
      <c r="E8" s="726"/>
      <c r="F8" s="728"/>
      <c r="G8" s="726"/>
      <c r="H8" s="728"/>
      <c r="I8" s="726"/>
      <c r="J8" s="727"/>
      <c r="K8" s="728"/>
      <c r="L8" s="727"/>
      <c r="M8" s="728"/>
      <c r="N8" s="727"/>
      <c r="O8" s="729"/>
      <c r="P8" s="730"/>
      <c r="Q8" s="834"/>
      <c r="R8" s="835"/>
      <c r="S8" s="836"/>
      <c r="T8" s="835"/>
      <c r="U8" s="836"/>
      <c r="V8" s="835"/>
      <c r="W8" s="450">
        <f aca="true" t="shared" si="0" ref="W8:W23">SUM(C8,E8,G8,I8,K8,M8,O8,Q8,S8,U8)</f>
        <v>0</v>
      </c>
      <c r="X8" s="451">
        <f aca="true" t="shared" si="1" ref="X8:X23">SUM(D8,F8,H8,J8,L8,N8,P8,R8,T8,V8)</f>
        <v>0</v>
      </c>
      <c r="Y8" s="81">
        <f>'t1'!M7</f>
        <v>0</v>
      </c>
    </row>
    <row r="9" spans="1:25" ht="12" customHeight="1">
      <c r="A9" s="158" t="str">
        <f>'t1'!A8</f>
        <v>DIRIGENTE II FASCIA</v>
      </c>
      <c r="B9" s="230" t="str">
        <f>'t1'!B8</f>
        <v>0D0079</v>
      </c>
      <c r="C9" s="726"/>
      <c r="D9" s="727"/>
      <c r="E9" s="726"/>
      <c r="F9" s="728"/>
      <c r="G9" s="726"/>
      <c r="H9" s="728"/>
      <c r="I9" s="726"/>
      <c r="J9" s="727"/>
      <c r="K9" s="728"/>
      <c r="L9" s="727"/>
      <c r="M9" s="728"/>
      <c r="N9" s="727"/>
      <c r="O9" s="729"/>
      <c r="P9" s="730"/>
      <c r="Q9" s="834"/>
      <c r="R9" s="835"/>
      <c r="S9" s="836"/>
      <c r="T9" s="835"/>
      <c r="U9" s="836"/>
      <c r="V9" s="835"/>
      <c r="W9" s="450">
        <f t="shared" si="0"/>
        <v>0</v>
      </c>
      <c r="X9" s="451">
        <f t="shared" si="1"/>
        <v>0</v>
      </c>
      <c r="Y9" s="81">
        <f>'t1'!M8</f>
        <v>0</v>
      </c>
    </row>
    <row r="10" spans="1:25" ht="12" customHeight="1">
      <c r="A10" s="158" t="str">
        <f>'t1'!A9</f>
        <v>DIRIGENTE II FASCIA A TEMPO DETERM.</v>
      </c>
      <c r="B10" s="230" t="str">
        <f>'t1'!B9</f>
        <v>0D0080</v>
      </c>
      <c r="C10" s="726"/>
      <c r="D10" s="727"/>
      <c r="E10" s="726"/>
      <c r="F10" s="728"/>
      <c r="G10" s="726"/>
      <c r="H10" s="728"/>
      <c r="I10" s="726"/>
      <c r="J10" s="727"/>
      <c r="K10" s="728"/>
      <c r="L10" s="727"/>
      <c r="M10" s="728"/>
      <c r="N10" s="727"/>
      <c r="O10" s="729"/>
      <c r="P10" s="730"/>
      <c r="Q10" s="834"/>
      <c r="R10" s="835"/>
      <c r="S10" s="836"/>
      <c r="T10" s="835"/>
      <c r="U10" s="836"/>
      <c r="V10" s="835"/>
      <c r="W10" s="450">
        <f t="shared" si="0"/>
        <v>0</v>
      </c>
      <c r="X10" s="451">
        <f t="shared" si="1"/>
        <v>0</v>
      </c>
      <c r="Y10" s="81">
        <f>'t1'!M9</f>
        <v>0</v>
      </c>
    </row>
    <row r="11" spans="1:25" ht="12" customHeight="1">
      <c r="A11" s="158" t="str">
        <f>'t1'!A10</f>
        <v>POSIZIONE ECONOMICA C5</v>
      </c>
      <c r="B11" s="230" t="str">
        <f>'t1'!B10</f>
        <v>046000</v>
      </c>
      <c r="C11" s="726"/>
      <c r="D11" s="727"/>
      <c r="E11" s="726"/>
      <c r="F11" s="728"/>
      <c r="G11" s="726"/>
      <c r="H11" s="728"/>
      <c r="I11" s="726"/>
      <c r="J11" s="727"/>
      <c r="K11" s="728"/>
      <c r="L11" s="727"/>
      <c r="M11" s="728"/>
      <c r="N11" s="727"/>
      <c r="O11" s="729"/>
      <c r="P11" s="730"/>
      <c r="Q11" s="834"/>
      <c r="R11" s="835"/>
      <c r="S11" s="836"/>
      <c r="T11" s="835"/>
      <c r="U11" s="836"/>
      <c r="V11" s="835"/>
      <c r="W11" s="450">
        <f t="shared" si="0"/>
        <v>0</v>
      </c>
      <c r="X11" s="451">
        <f t="shared" si="1"/>
        <v>0</v>
      </c>
      <c r="Y11" s="81">
        <f>'t1'!M10</f>
        <v>0</v>
      </c>
    </row>
    <row r="12" spans="1:25" ht="12" customHeight="1">
      <c r="A12" s="158" t="str">
        <f>'t1'!A11</f>
        <v>POSIZIONE ECONOMICA C4</v>
      </c>
      <c r="B12" s="230" t="str">
        <f>'t1'!B11</f>
        <v>045000</v>
      </c>
      <c r="C12" s="726"/>
      <c r="D12" s="727"/>
      <c r="E12" s="726"/>
      <c r="F12" s="728"/>
      <c r="G12" s="726"/>
      <c r="H12" s="728"/>
      <c r="I12" s="726"/>
      <c r="J12" s="727"/>
      <c r="K12" s="728"/>
      <c r="L12" s="727"/>
      <c r="M12" s="728"/>
      <c r="N12" s="727"/>
      <c r="O12" s="729"/>
      <c r="P12" s="730"/>
      <c r="Q12" s="834"/>
      <c r="R12" s="835"/>
      <c r="S12" s="836"/>
      <c r="T12" s="835"/>
      <c r="U12" s="836"/>
      <c r="V12" s="835"/>
      <c r="W12" s="450">
        <f t="shared" si="0"/>
        <v>0</v>
      </c>
      <c r="X12" s="451">
        <f t="shared" si="1"/>
        <v>0</v>
      </c>
      <c r="Y12" s="81">
        <f>'t1'!M11</f>
        <v>0</v>
      </c>
    </row>
    <row r="13" spans="1:25" ht="12" customHeight="1">
      <c r="A13" s="158" t="str">
        <f>'t1'!A12</f>
        <v>POSIZIONE ECONOMICA C3</v>
      </c>
      <c r="B13" s="230" t="str">
        <f>'t1'!B12</f>
        <v>043000</v>
      </c>
      <c r="C13" s="726"/>
      <c r="D13" s="727"/>
      <c r="E13" s="726"/>
      <c r="F13" s="728"/>
      <c r="G13" s="726"/>
      <c r="H13" s="728"/>
      <c r="I13" s="726"/>
      <c r="J13" s="727"/>
      <c r="K13" s="728"/>
      <c r="L13" s="727"/>
      <c r="M13" s="728"/>
      <c r="N13" s="727"/>
      <c r="O13" s="729"/>
      <c r="P13" s="730"/>
      <c r="Q13" s="834"/>
      <c r="R13" s="835"/>
      <c r="S13" s="836"/>
      <c r="T13" s="835"/>
      <c r="U13" s="836"/>
      <c r="V13" s="835"/>
      <c r="W13" s="450">
        <f t="shared" si="0"/>
        <v>0</v>
      </c>
      <c r="X13" s="451">
        <f t="shared" si="1"/>
        <v>0</v>
      </c>
      <c r="Y13" s="81">
        <f>'t1'!M12</f>
        <v>0</v>
      </c>
    </row>
    <row r="14" spans="1:25" ht="12" customHeight="1">
      <c r="A14" s="158" t="str">
        <f>'t1'!A13</f>
        <v>POSIZIONE ECONOMICA C2</v>
      </c>
      <c r="B14" s="230" t="str">
        <f>'t1'!B13</f>
        <v>042000</v>
      </c>
      <c r="C14" s="726"/>
      <c r="D14" s="727"/>
      <c r="E14" s="726"/>
      <c r="F14" s="728"/>
      <c r="G14" s="726"/>
      <c r="H14" s="728"/>
      <c r="I14" s="726"/>
      <c r="J14" s="727"/>
      <c r="K14" s="728"/>
      <c r="L14" s="727"/>
      <c r="M14" s="728"/>
      <c r="N14" s="727"/>
      <c r="O14" s="729"/>
      <c r="P14" s="730"/>
      <c r="Q14" s="834"/>
      <c r="R14" s="835"/>
      <c r="S14" s="836"/>
      <c r="T14" s="835"/>
      <c r="U14" s="836"/>
      <c r="V14" s="835"/>
      <c r="W14" s="450">
        <f t="shared" si="0"/>
        <v>0</v>
      </c>
      <c r="X14" s="451">
        <f t="shared" si="1"/>
        <v>0</v>
      </c>
      <c r="Y14" s="81">
        <f>'t1'!M13</f>
        <v>0</v>
      </c>
    </row>
    <row r="15" spans="1:25" ht="12" customHeight="1">
      <c r="A15" s="158" t="str">
        <f>'t1'!A14</f>
        <v>POSIZIONE ECONOMICA C1</v>
      </c>
      <c r="B15" s="230" t="str">
        <f>'t1'!B14</f>
        <v>040000</v>
      </c>
      <c r="C15" s="726"/>
      <c r="D15" s="727"/>
      <c r="E15" s="726"/>
      <c r="F15" s="728"/>
      <c r="G15" s="726"/>
      <c r="H15" s="728"/>
      <c r="I15" s="726"/>
      <c r="J15" s="727"/>
      <c r="K15" s="728"/>
      <c r="L15" s="727"/>
      <c r="M15" s="728"/>
      <c r="N15" s="727"/>
      <c r="O15" s="729"/>
      <c r="P15" s="730"/>
      <c r="Q15" s="834"/>
      <c r="R15" s="835"/>
      <c r="S15" s="836"/>
      <c r="T15" s="835"/>
      <c r="U15" s="836"/>
      <c r="V15" s="835"/>
      <c r="W15" s="450">
        <f t="shared" si="0"/>
        <v>0</v>
      </c>
      <c r="X15" s="451">
        <f t="shared" si="1"/>
        <v>0</v>
      </c>
      <c r="Y15" s="81">
        <f>'t1'!M14</f>
        <v>0</v>
      </c>
    </row>
    <row r="16" spans="1:25" ht="12" customHeight="1">
      <c r="A16" s="158" t="str">
        <f>'t1'!A15</f>
        <v>POSIZIONE ECONOMICA B4</v>
      </c>
      <c r="B16" s="230" t="str">
        <f>'t1'!B15</f>
        <v>036000</v>
      </c>
      <c r="C16" s="726"/>
      <c r="D16" s="727"/>
      <c r="E16" s="726"/>
      <c r="F16" s="728"/>
      <c r="G16" s="726"/>
      <c r="H16" s="728"/>
      <c r="I16" s="726"/>
      <c r="J16" s="727"/>
      <c r="K16" s="728"/>
      <c r="L16" s="727"/>
      <c r="M16" s="728"/>
      <c r="N16" s="727"/>
      <c r="O16" s="729"/>
      <c r="P16" s="730"/>
      <c r="Q16" s="834"/>
      <c r="R16" s="835"/>
      <c r="S16" s="836"/>
      <c r="T16" s="835"/>
      <c r="U16" s="836"/>
      <c r="V16" s="835"/>
      <c r="W16" s="450">
        <f t="shared" si="0"/>
        <v>0</v>
      </c>
      <c r="X16" s="451">
        <f t="shared" si="1"/>
        <v>0</v>
      </c>
      <c r="Y16" s="81">
        <f>'t1'!M15</f>
        <v>0</v>
      </c>
    </row>
    <row r="17" spans="1:25" ht="12" customHeight="1">
      <c r="A17" s="158" t="str">
        <f>'t1'!A16</f>
        <v>POSIZIONE ECONOMICA B3</v>
      </c>
      <c r="B17" s="230" t="str">
        <f>'t1'!B16</f>
        <v>034000</v>
      </c>
      <c r="C17" s="726"/>
      <c r="D17" s="727"/>
      <c r="E17" s="726"/>
      <c r="F17" s="728"/>
      <c r="G17" s="726"/>
      <c r="H17" s="728"/>
      <c r="I17" s="726"/>
      <c r="J17" s="727"/>
      <c r="K17" s="728"/>
      <c r="L17" s="727"/>
      <c r="M17" s="728"/>
      <c r="N17" s="727"/>
      <c r="O17" s="729"/>
      <c r="P17" s="730"/>
      <c r="Q17" s="834"/>
      <c r="R17" s="835"/>
      <c r="S17" s="836"/>
      <c r="T17" s="835"/>
      <c r="U17" s="836"/>
      <c r="V17" s="835"/>
      <c r="W17" s="450">
        <f t="shared" si="0"/>
        <v>0</v>
      </c>
      <c r="X17" s="451">
        <f t="shared" si="1"/>
        <v>0</v>
      </c>
      <c r="Y17" s="81">
        <f>'t1'!M16</f>
        <v>0</v>
      </c>
    </row>
    <row r="18" spans="1:25" ht="12" customHeight="1">
      <c r="A18" s="158" t="str">
        <f>'t1'!A17</f>
        <v>POSIZIONE ECONOMICA B2</v>
      </c>
      <c r="B18" s="230" t="str">
        <f>'t1'!B17</f>
        <v>032000</v>
      </c>
      <c r="C18" s="731"/>
      <c r="D18" s="727"/>
      <c r="E18" s="726"/>
      <c r="F18" s="728"/>
      <c r="G18" s="726"/>
      <c r="H18" s="728"/>
      <c r="I18" s="726"/>
      <c r="J18" s="727"/>
      <c r="K18" s="728"/>
      <c r="L18" s="727"/>
      <c r="M18" s="728"/>
      <c r="N18" s="727"/>
      <c r="O18" s="729"/>
      <c r="P18" s="730"/>
      <c r="Q18" s="834"/>
      <c r="R18" s="835"/>
      <c r="S18" s="836"/>
      <c r="T18" s="835"/>
      <c r="U18" s="836"/>
      <c r="V18" s="835"/>
      <c r="W18" s="450">
        <f t="shared" si="0"/>
        <v>0</v>
      </c>
      <c r="X18" s="451">
        <f t="shared" si="1"/>
        <v>0</v>
      </c>
      <c r="Y18" s="81">
        <f>'t1'!M17</f>
        <v>0</v>
      </c>
    </row>
    <row r="19" spans="1:25" ht="12" customHeight="1">
      <c r="A19" s="158" t="str">
        <f>'t1'!A18</f>
        <v>POSIZIONE ECONOMICA B1</v>
      </c>
      <c r="B19" s="230" t="str">
        <f>'t1'!B18</f>
        <v>030000</v>
      </c>
      <c r="C19" s="731"/>
      <c r="D19" s="732"/>
      <c r="E19" s="733"/>
      <c r="F19" s="734"/>
      <c r="G19" s="733"/>
      <c r="H19" s="734"/>
      <c r="I19" s="731"/>
      <c r="J19" s="732"/>
      <c r="K19" s="734"/>
      <c r="L19" s="732"/>
      <c r="M19" s="734"/>
      <c r="N19" s="732"/>
      <c r="O19" s="735"/>
      <c r="P19" s="734"/>
      <c r="Q19" s="837"/>
      <c r="R19" s="838"/>
      <c r="S19" s="839"/>
      <c r="T19" s="838"/>
      <c r="U19" s="839"/>
      <c r="V19" s="838"/>
      <c r="W19" s="450">
        <f t="shared" si="0"/>
        <v>0</v>
      </c>
      <c r="X19" s="451">
        <f t="shared" si="1"/>
        <v>0</v>
      </c>
      <c r="Y19" s="81">
        <f>'t1'!M18</f>
        <v>0</v>
      </c>
    </row>
    <row r="20" spans="1:25" ht="12" customHeight="1">
      <c r="A20" s="158" t="str">
        <f>'t1'!A19</f>
        <v>POSIZIONE ECONOMICA A3</v>
      </c>
      <c r="B20" s="230" t="str">
        <f>'t1'!B19</f>
        <v>027000</v>
      </c>
      <c r="C20" s="731"/>
      <c r="D20" s="732"/>
      <c r="E20" s="733"/>
      <c r="F20" s="734"/>
      <c r="G20" s="733"/>
      <c r="H20" s="734"/>
      <c r="I20" s="731"/>
      <c r="J20" s="732"/>
      <c r="K20" s="734"/>
      <c r="L20" s="732"/>
      <c r="M20" s="734"/>
      <c r="N20" s="732"/>
      <c r="O20" s="735"/>
      <c r="P20" s="734"/>
      <c r="Q20" s="837"/>
      <c r="R20" s="838"/>
      <c r="S20" s="839"/>
      <c r="T20" s="838"/>
      <c r="U20" s="839"/>
      <c r="V20" s="838"/>
      <c r="W20" s="450">
        <f t="shared" si="0"/>
        <v>0</v>
      </c>
      <c r="X20" s="451">
        <f t="shared" si="1"/>
        <v>0</v>
      </c>
      <c r="Y20" s="81">
        <f>'t1'!M19</f>
        <v>0</v>
      </c>
    </row>
    <row r="21" spans="1:25" ht="12" customHeight="1">
      <c r="A21" s="158" t="str">
        <f>'t1'!A20</f>
        <v>POSIZIONE ECONOMICA A2</v>
      </c>
      <c r="B21" s="230" t="str">
        <f>'t1'!B20</f>
        <v>025000</v>
      </c>
      <c r="C21" s="731"/>
      <c r="D21" s="732"/>
      <c r="E21" s="733"/>
      <c r="F21" s="734"/>
      <c r="G21" s="733"/>
      <c r="H21" s="734"/>
      <c r="I21" s="731"/>
      <c r="J21" s="732"/>
      <c r="K21" s="734"/>
      <c r="L21" s="732"/>
      <c r="M21" s="734"/>
      <c r="N21" s="732"/>
      <c r="O21" s="735"/>
      <c r="P21" s="734"/>
      <c r="Q21" s="837"/>
      <c r="R21" s="838"/>
      <c r="S21" s="839"/>
      <c r="T21" s="838"/>
      <c r="U21" s="839"/>
      <c r="V21" s="838"/>
      <c r="W21" s="450">
        <f t="shared" si="0"/>
        <v>0</v>
      </c>
      <c r="X21" s="451">
        <f t="shared" si="1"/>
        <v>0</v>
      </c>
      <c r="Y21" s="81">
        <f>'t1'!M20</f>
        <v>0</v>
      </c>
    </row>
    <row r="22" spans="1:25" ht="12" customHeight="1">
      <c r="A22" s="158" t="str">
        <f>'t1'!A21</f>
        <v>POSIZIONE ECONOMICA A1</v>
      </c>
      <c r="B22" s="230" t="str">
        <f>'t1'!B21</f>
        <v>023000</v>
      </c>
      <c r="C22" s="731"/>
      <c r="D22" s="732"/>
      <c r="E22" s="733"/>
      <c r="F22" s="734"/>
      <c r="G22" s="733"/>
      <c r="H22" s="734"/>
      <c r="I22" s="731"/>
      <c r="J22" s="732"/>
      <c r="K22" s="734"/>
      <c r="L22" s="732"/>
      <c r="M22" s="734"/>
      <c r="N22" s="732"/>
      <c r="O22" s="735"/>
      <c r="P22" s="734"/>
      <c r="Q22" s="837"/>
      <c r="R22" s="838"/>
      <c r="S22" s="839"/>
      <c r="T22" s="838"/>
      <c r="U22" s="839"/>
      <c r="V22" s="838"/>
      <c r="W22" s="450">
        <f t="shared" si="0"/>
        <v>0</v>
      </c>
      <c r="X22" s="451">
        <f t="shared" si="1"/>
        <v>0</v>
      </c>
      <c r="Y22" s="81">
        <f>'t1'!M21</f>
        <v>0</v>
      </c>
    </row>
    <row r="23" spans="1:25" ht="12" customHeight="1" thickBot="1">
      <c r="A23" s="158" t="str">
        <f>'t1'!A22</f>
        <v>CONTRATTISTI (a)</v>
      </c>
      <c r="B23" s="230" t="str">
        <f>'t1'!B22</f>
        <v>000061</v>
      </c>
      <c r="C23" s="731"/>
      <c r="D23" s="732"/>
      <c r="E23" s="733"/>
      <c r="F23" s="734"/>
      <c r="G23" s="733"/>
      <c r="H23" s="734"/>
      <c r="I23" s="731"/>
      <c r="J23" s="732"/>
      <c r="K23" s="734"/>
      <c r="L23" s="732"/>
      <c r="M23" s="734"/>
      <c r="N23" s="732"/>
      <c r="O23" s="735"/>
      <c r="P23" s="734"/>
      <c r="Q23" s="837"/>
      <c r="R23" s="838"/>
      <c r="S23" s="839"/>
      <c r="T23" s="838"/>
      <c r="U23" s="839"/>
      <c r="V23" s="838"/>
      <c r="W23" s="450">
        <f t="shared" si="0"/>
        <v>0</v>
      </c>
      <c r="X23" s="451">
        <f t="shared" si="1"/>
        <v>0</v>
      </c>
      <c r="Y23" s="81">
        <f>'t1'!M22</f>
        <v>0</v>
      </c>
    </row>
    <row r="24" spans="1:24" ht="12.75" customHeight="1" thickBot="1" thickTop="1">
      <c r="A24" s="89" t="s">
        <v>77</v>
      </c>
      <c r="B24" s="90"/>
      <c r="C24" s="452">
        <f aca="true" t="shared" si="2" ref="C24:X24">SUM(C7:C23)</f>
        <v>0</v>
      </c>
      <c r="D24" s="454">
        <f t="shared" si="2"/>
        <v>0</v>
      </c>
      <c r="E24" s="556">
        <f t="shared" si="2"/>
        <v>0</v>
      </c>
      <c r="F24" s="454">
        <f t="shared" si="2"/>
        <v>0</v>
      </c>
      <c r="G24" s="556">
        <f t="shared" si="2"/>
        <v>0</v>
      </c>
      <c r="H24" s="454">
        <f t="shared" si="2"/>
        <v>0</v>
      </c>
      <c r="I24" s="556">
        <f t="shared" si="2"/>
        <v>0</v>
      </c>
      <c r="J24" s="454">
        <f t="shared" si="2"/>
        <v>0</v>
      </c>
      <c r="K24" s="556">
        <f t="shared" si="2"/>
        <v>0</v>
      </c>
      <c r="L24" s="454">
        <f t="shared" si="2"/>
        <v>0</v>
      </c>
      <c r="M24" s="556">
        <f t="shared" si="2"/>
        <v>0</v>
      </c>
      <c r="N24" s="454">
        <f t="shared" si="2"/>
        <v>0</v>
      </c>
      <c r="O24" s="556">
        <f t="shared" si="2"/>
        <v>0</v>
      </c>
      <c r="P24" s="454">
        <f t="shared" si="2"/>
        <v>0</v>
      </c>
      <c r="Q24" s="840">
        <f aca="true" t="shared" si="3" ref="Q24:V24">SUM(Q7:Q23)</f>
        <v>0</v>
      </c>
      <c r="R24" s="841">
        <f t="shared" si="3"/>
        <v>0</v>
      </c>
      <c r="S24" s="840">
        <f t="shared" si="3"/>
        <v>0</v>
      </c>
      <c r="T24" s="841">
        <f t="shared" si="3"/>
        <v>0</v>
      </c>
      <c r="U24" s="840">
        <f t="shared" si="3"/>
        <v>0</v>
      </c>
      <c r="V24" s="841">
        <f t="shared" si="3"/>
        <v>0</v>
      </c>
      <c r="W24" s="452">
        <f t="shared" si="2"/>
        <v>0</v>
      </c>
      <c r="X24" s="453">
        <f t="shared" si="2"/>
        <v>0</v>
      </c>
    </row>
    <row r="26" spans="1:22" ht="9.75" customHeight="1">
      <c r="A26" s="26" t="str">
        <f>'t1'!$A$24</f>
        <v>(a) personale a tempo indeterminato al quale viene applicato un contratto di lavoro di tipo privatistico (es.:tipografico,chimico,edile,metalmeccanico,portierato, ecc.)</v>
      </c>
      <c r="B26" s="7"/>
      <c r="C26" s="5"/>
      <c r="D26" s="5"/>
      <c r="E26" s="5"/>
      <c r="F26" s="5"/>
      <c r="G26" s="5"/>
      <c r="H26" s="5"/>
      <c r="I26" s="5"/>
      <c r="J26" s="5"/>
      <c r="K26" s="5"/>
      <c r="L26" s="5"/>
      <c r="M26" s="5"/>
      <c r="N26" s="5"/>
      <c r="O26" s="5"/>
      <c r="P26" s="5"/>
      <c r="Q26" s="5"/>
      <c r="R26" s="5"/>
      <c r="S26" s="5"/>
      <c r="T26" s="5"/>
      <c r="U26" s="5"/>
      <c r="V26" s="5"/>
    </row>
    <row r="27" spans="1:2" s="5" customFormat="1" ht="9.75">
      <c r="A27" s="26"/>
      <c r="B27" s="7"/>
    </row>
    <row r="28" ht="9.75">
      <c r="A28" s="81" t="s">
        <v>157</v>
      </c>
    </row>
  </sheetData>
  <sheetProtection password="EA98" sheet="1" formatColumns="0" selectLockedCells="1"/>
  <mergeCells count="24">
    <mergeCell ref="A1:P1"/>
    <mergeCell ref="G4:H4"/>
    <mergeCell ref="C4:D4"/>
    <mergeCell ref="E4:F4"/>
    <mergeCell ref="J2:X2"/>
    <mergeCell ref="I4:J4"/>
    <mergeCell ref="U4:V4"/>
    <mergeCell ref="Q4:R4"/>
    <mergeCell ref="O5:P5"/>
    <mergeCell ref="M4:N4"/>
    <mergeCell ref="K5:L5"/>
    <mergeCell ref="M5:N5"/>
    <mergeCell ref="K4:L4"/>
    <mergeCell ref="O4:P4"/>
    <mergeCell ref="U5:V5"/>
    <mergeCell ref="G5:H5"/>
    <mergeCell ref="I5:J5"/>
    <mergeCell ref="S4:T4"/>
    <mergeCell ref="W4:X4"/>
    <mergeCell ref="C5:D5"/>
    <mergeCell ref="W5:X5"/>
    <mergeCell ref="Q5:R5"/>
    <mergeCell ref="S5:T5"/>
    <mergeCell ref="E5:F5"/>
  </mergeCells>
  <conditionalFormatting sqref="A7:T23 W7:X23">
    <cfRule type="expression" priority="2" dxfId="3" stopIfTrue="1">
      <formula>$Y7&gt;0</formula>
    </cfRule>
  </conditionalFormatting>
  <conditionalFormatting sqref="U7:V23">
    <cfRule type="expression" priority="1" dxfId="3" stopIfTrue="1">
      <formula>$Y7&gt;0</formula>
    </cfRule>
  </conditionalFormatting>
  <printOptions horizontalCentered="1" verticalCentered="1"/>
  <pageMargins left="0" right="0" top="0.1968503937007874" bottom="0.15748031496062992" header="0.15748031496062992" footer="0.15748031496062992"/>
  <pageSetup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 G. O. P. DIV.  VI</dc:creator>
  <cp:keywords/>
  <dc:description/>
  <cp:lastModifiedBy>ANTONELLI Gianluca</cp:lastModifiedBy>
  <cp:lastPrinted>2012-05-02T17:05:27Z</cp:lastPrinted>
  <dcterms:created xsi:type="dcterms:W3CDTF">1998-10-29T14:18:41Z</dcterms:created>
  <dcterms:modified xsi:type="dcterms:W3CDTF">2019-06-25T09:25:50Z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